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nita\Desktop\Anita Teletrabajo\Ley N° 20032\Autoriza concurso\10 Concurso Residencias\Definitivos\"/>
    </mc:Choice>
  </mc:AlternateContent>
  <xr:revisionPtr revIDLastSave="0" documentId="13_ncr:1_{65C80105-7120-44FB-9DAB-1CC773DE4157}" xr6:coauthVersionLast="47" xr6:coauthVersionMax="47" xr10:uidLastSave="{00000000-0000-0000-0000-000000000000}"/>
  <bookViews>
    <workbookView xWindow="-120" yWindow="-120" windowWidth="20730" windowHeight="11160" tabRatio="627" xr2:uid="{00000000-000D-0000-FFFF-FFFF00000000}"/>
  </bookViews>
  <sheets>
    <sheet name="ANEXO N°1 REM-RAM-RLP-PER RDS-P" sheetId="1" r:id="rId1"/>
    <sheet name="ANEXO N°1 RVA-RVT-PRE-PPE" sheetId="2" r:id="rId2"/>
  </sheets>
  <definedNames>
    <definedName name="_xlnm._FilterDatabase" localSheetId="0" hidden="1">'ANEXO N°1 REM-RAM-RLP-PER RDS-P'!$A$3:$N$103</definedName>
    <definedName name="_xlnm._FilterDatabase" localSheetId="1" hidden="1">'ANEXO N°1 RVA-RVT-PRE-PPE'!$A$2:$T$44</definedName>
    <definedName name="_xlnm.Print_Titles" localSheetId="0">'ANEXO N°1 REM-RAM-RLP-PER RDS-P'!$3:$3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3" i="1" l="1"/>
  <c r="K103" i="1" s="1"/>
  <c r="L103" i="1" s="1"/>
  <c r="J102" i="1"/>
  <c r="K102" i="1" s="1"/>
  <c r="L102" i="1" s="1"/>
  <c r="J101" i="1"/>
  <c r="K101" i="1" s="1"/>
  <c r="L101" i="1" s="1"/>
  <c r="J100" i="1"/>
  <c r="K100" i="1" s="1"/>
  <c r="L100" i="1" s="1"/>
  <c r="J99" i="1"/>
  <c r="K99" i="1" s="1"/>
  <c r="L99" i="1" s="1"/>
  <c r="J98" i="1"/>
  <c r="K98" i="1" s="1"/>
  <c r="L98" i="1" s="1"/>
  <c r="J97" i="1"/>
  <c r="K97" i="1" s="1"/>
  <c r="L97" i="1" s="1"/>
  <c r="J96" i="1"/>
  <c r="K96" i="1" s="1"/>
  <c r="L96" i="1" s="1"/>
  <c r="J95" i="1"/>
  <c r="K95" i="1" s="1"/>
  <c r="L95" i="1" s="1"/>
  <c r="J94" i="1"/>
  <c r="K94" i="1" s="1"/>
  <c r="L94" i="1" s="1"/>
  <c r="J93" i="1"/>
  <c r="K93" i="1" s="1"/>
  <c r="L93" i="1" s="1"/>
  <c r="J92" i="1"/>
  <c r="K92" i="1" s="1"/>
  <c r="L92" i="1" s="1"/>
  <c r="J91" i="1"/>
  <c r="K91" i="1" s="1"/>
  <c r="L91" i="1" s="1"/>
  <c r="J90" i="1"/>
  <c r="K90" i="1" s="1"/>
  <c r="L90" i="1" s="1"/>
  <c r="J89" i="1"/>
  <c r="K89" i="1" s="1"/>
  <c r="L89" i="1" s="1"/>
  <c r="J88" i="1"/>
  <c r="K88" i="1" s="1"/>
  <c r="L88" i="1" s="1"/>
  <c r="J87" i="1"/>
  <c r="K87" i="1" s="1"/>
  <c r="L87" i="1" s="1"/>
  <c r="J86" i="1"/>
  <c r="K86" i="1" s="1"/>
  <c r="L86" i="1" s="1"/>
  <c r="J85" i="1"/>
  <c r="K85" i="1" s="1"/>
  <c r="L85" i="1" s="1"/>
  <c r="J84" i="1"/>
  <c r="K84" i="1" s="1"/>
  <c r="L84" i="1" s="1"/>
  <c r="J83" i="1"/>
  <c r="K83" i="1" s="1"/>
  <c r="L83" i="1" s="1"/>
  <c r="J82" i="1"/>
  <c r="K82" i="1" s="1"/>
  <c r="L82" i="1" s="1"/>
  <c r="J81" i="1"/>
  <c r="K81" i="1" s="1"/>
  <c r="L81" i="1" s="1"/>
  <c r="J80" i="1"/>
  <c r="K80" i="1" s="1"/>
  <c r="L80" i="1" s="1"/>
  <c r="J79" i="1"/>
  <c r="K79" i="1" s="1"/>
  <c r="L79" i="1" s="1"/>
  <c r="J78" i="1"/>
  <c r="K78" i="1" s="1"/>
  <c r="L78" i="1" s="1"/>
  <c r="J77" i="1"/>
  <c r="K77" i="1" s="1"/>
  <c r="L77" i="1" s="1"/>
  <c r="J76" i="1"/>
  <c r="K76" i="1" s="1"/>
  <c r="L76" i="1" s="1"/>
  <c r="J75" i="1"/>
  <c r="K75" i="1" s="1"/>
  <c r="L75" i="1" s="1"/>
  <c r="J74" i="1"/>
  <c r="K74" i="1" s="1"/>
  <c r="L74" i="1" s="1"/>
  <c r="J73" i="1"/>
  <c r="K73" i="1" s="1"/>
  <c r="L73" i="1" s="1"/>
  <c r="J72" i="1"/>
  <c r="K72" i="1" s="1"/>
  <c r="L72" i="1" s="1"/>
  <c r="J71" i="1"/>
  <c r="K71" i="1" s="1"/>
  <c r="L71" i="1" s="1"/>
  <c r="J70" i="1"/>
  <c r="K70" i="1" s="1"/>
  <c r="L70" i="1" s="1"/>
  <c r="J69" i="1"/>
  <c r="K69" i="1" s="1"/>
  <c r="L69" i="1" s="1"/>
  <c r="J68" i="1"/>
  <c r="K68" i="1" s="1"/>
  <c r="L68" i="1" s="1"/>
  <c r="J67" i="1"/>
  <c r="K67" i="1" s="1"/>
  <c r="L67" i="1" s="1"/>
  <c r="J66" i="1"/>
  <c r="K66" i="1" s="1"/>
  <c r="L66" i="1" s="1"/>
  <c r="J65" i="1"/>
  <c r="K65" i="1" s="1"/>
  <c r="L65" i="1" s="1"/>
  <c r="J64" i="1"/>
  <c r="K64" i="1" s="1"/>
  <c r="L64" i="1" s="1"/>
  <c r="J63" i="1"/>
  <c r="K63" i="1" s="1"/>
  <c r="L63" i="1" s="1"/>
  <c r="J62" i="1"/>
  <c r="K62" i="1" s="1"/>
  <c r="L62" i="1" s="1"/>
  <c r="J61" i="1"/>
  <c r="K61" i="1" s="1"/>
  <c r="L61" i="1" s="1"/>
  <c r="J60" i="1"/>
  <c r="K60" i="1" s="1"/>
  <c r="L60" i="1" s="1"/>
  <c r="J59" i="1"/>
  <c r="K59" i="1" s="1"/>
  <c r="L59" i="1" s="1"/>
  <c r="J58" i="1"/>
  <c r="K58" i="1" s="1"/>
  <c r="L58" i="1" s="1"/>
  <c r="J57" i="1"/>
  <c r="K57" i="1" s="1"/>
  <c r="L57" i="1" s="1"/>
  <c r="J56" i="1"/>
  <c r="K56" i="1" s="1"/>
  <c r="L56" i="1" s="1"/>
  <c r="J55" i="1"/>
  <c r="K55" i="1" s="1"/>
  <c r="L55" i="1" s="1"/>
  <c r="J54" i="1"/>
  <c r="K54" i="1" s="1"/>
  <c r="L54" i="1" s="1"/>
  <c r="J53" i="1"/>
  <c r="K53" i="1" s="1"/>
  <c r="L53" i="1" s="1"/>
  <c r="J52" i="1"/>
  <c r="K52" i="1" s="1"/>
  <c r="L52" i="1" s="1"/>
  <c r="J51" i="1"/>
  <c r="K51" i="1" s="1"/>
  <c r="L51" i="1" s="1"/>
  <c r="J50" i="1"/>
  <c r="K50" i="1" s="1"/>
  <c r="L50" i="1" s="1"/>
  <c r="J49" i="1"/>
  <c r="K49" i="1" s="1"/>
  <c r="L49" i="1" s="1"/>
  <c r="J48" i="1"/>
  <c r="K48" i="1" s="1"/>
  <c r="L48" i="1" s="1"/>
  <c r="J47" i="1"/>
  <c r="K47" i="1" s="1"/>
  <c r="L47" i="1" s="1"/>
  <c r="J46" i="1"/>
  <c r="K46" i="1" s="1"/>
  <c r="L46" i="1" s="1"/>
  <c r="J45" i="1"/>
  <c r="K45" i="1" s="1"/>
  <c r="L45" i="1" s="1"/>
  <c r="J44" i="1"/>
  <c r="K44" i="1" s="1"/>
  <c r="L44" i="1" s="1"/>
  <c r="J43" i="1"/>
  <c r="K43" i="1" s="1"/>
  <c r="L43" i="1" s="1"/>
  <c r="J42" i="1"/>
  <c r="K42" i="1" s="1"/>
  <c r="L42" i="1" s="1"/>
  <c r="J41" i="1"/>
  <c r="K41" i="1" s="1"/>
  <c r="L41" i="1" s="1"/>
  <c r="J40" i="1"/>
  <c r="K40" i="1" s="1"/>
  <c r="L40" i="1" s="1"/>
  <c r="J39" i="1"/>
  <c r="K39" i="1" s="1"/>
  <c r="L39" i="1" s="1"/>
  <c r="J38" i="1"/>
  <c r="K38" i="1" s="1"/>
  <c r="L38" i="1" s="1"/>
  <c r="J37" i="1"/>
  <c r="K37" i="1" s="1"/>
  <c r="L37" i="1" s="1"/>
  <c r="J36" i="1"/>
  <c r="K36" i="1" s="1"/>
  <c r="L36" i="1" s="1"/>
  <c r="J35" i="1"/>
  <c r="K35" i="1" s="1"/>
  <c r="L35" i="1" s="1"/>
  <c r="J34" i="1"/>
  <c r="K34" i="1" s="1"/>
  <c r="L34" i="1" s="1"/>
  <c r="J33" i="1"/>
  <c r="K33" i="1" s="1"/>
  <c r="L33" i="1" s="1"/>
  <c r="J32" i="1"/>
  <c r="K32" i="1" s="1"/>
  <c r="L32" i="1" s="1"/>
  <c r="J31" i="1"/>
  <c r="K31" i="1" s="1"/>
  <c r="L31" i="1" s="1"/>
  <c r="J30" i="1"/>
  <c r="K30" i="1" s="1"/>
  <c r="L30" i="1" s="1"/>
  <c r="J29" i="1"/>
  <c r="K29" i="1" s="1"/>
  <c r="L29" i="1" s="1"/>
  <c r="J28" i="1"/>
  <c r="K28" i="1" s="1"/>
  <c r="L28" i="1" s="1"/>
  <c r="J27" i="1"/>
  <c r="K27" i="1" s="1"/>
  <c r="L27" i="1" s="1"/>
  <c r="J26" i="1"/>
  <c r="K26" i="1" s="1"/>
  <c r="L26" i="1" s="1"/>
  <c r="J25" i="1"/>
  <c r="K25" i="1" s="1"/>
  <c r="L25" i="1" s="1"/>
  <c r="J24" i="1"/>
  <c r="K24" i="1" s="1"/>
  <c r="L24" i="1" s="1"/>
  <c r="J23" i="1"/>
  <c r="K23" i="1" s="1"/>
  <c r="L23" i="1" s="1"/>
  <c r="J22" i="1"/>
  <c r="K22" i="1" s="1"/>
  <c r="L22" i="1" s="1"/>
  <c r="J21" i="1"/>
  <c r="K21" i="1" s="1"/>
  <c r="L21" i="1" s="1"/>
  <c r="J20" i="1"/>
  <c r="K20" i="1" s="1"/>
  <c r="L20" i="1" s="1"/>
  <c r="J19" i="1"/>
  <c r="K19" i="1" s="1"/>
  <c r="L19" i="1" s="1"/>
  <c r="J18" i="1"/>
  <c r="K18" i="1" s="1"/>
  <c r="L18" i="1" s="1"/>
  <c r="J17" i="1"/>
  <c r="K17" i="1" s="1"/>
  <c r="L17" i="1" s="1"/>
  <c r="J16" i="1"/>
  <c r="K16" i="1" s="1"/>
  <c r="L16" i="1" s="1"/>
  <c r="J15" i="1"/>
  <c r="K15" i="1" s="1"/>
  <c r="L15" i="1" s="1"/>
  <c r="J14" i="1"/>
  <c r="K14" i="1" s="1"/>
  <c r="L14" i="1" s="1"/>
  <c r="J13" i="1"/>
  <c r="K13" i="1" s="1"/>
  <c r="L13" i="1" s="1"/>
  <c r="J12" i="1"/>
  <c r="K12" i="1" s="1"/>
  <c r="L12" i="1" s="1"/>
  <c r="J11" i="1"/>
  <c r="K11" i="1" s="1"/>
  <c r="L11" i="1" s="1"/>
  <c r="J10" i="1"/>
  <c r="K10" i="1" s="1"/>
  <c r="L10" i="1" s="1"/>
  <c r="J9" i="1"/>
  <c r="K9" i="1" s="1"/>
  <c r="L9" i="1" s="1"/>
  <c r="J8" i="1"/>
  <c r="K8" i="1" s="1"/>
  <c r="L8" i="1" s="1"/>
  <c r="J7" i="1"/>
  <c r="K7" i="1" s="1"/>
  <c r="L7" i="1" s="1"/>
  <c r="J6" i="1"/>
  <c r="K6" i="1" s="1"/>
  <c r="L6" i="1" s="1"/>
  <c r="B6" i="1"/>
  <c r="B7" i="1" s="1"/>
  <c r="J5" i="1"/>
  <c r="K5" i="1" s="1"/>
  <c r="L5" i="1" s="1"/>
  <c r="B5" i="1"/>
  <c r="J4" i="1"/>
  <c r="K4" i="1" s="1"/>
  <c r="L4" i="1" s="1"/>
  <c r="B8" i="1" l="1"/>
  <c r="B9" i="1" s="1"/>
  <c r="B10" i="1" l="1"/>
  <c r="B11" i="1" s="1"/>
  <c r="B12" i="1" l="1"/>
  <c r="B13" i="1" s="1"/>
  <c r="B14" i="1" l="1"/>
  <c r="B16" i="1"/>
  <c r="B15" i="1"/>
  <c r="B18" i="1" l="1"/>
  <c r="B19" i="1" s="1"/>
  <c r="B20" i="1" s="1"/>
  <c r="B21" i="1" s="1"/>
  <c r="B22" i="1" s="1"/>
  <c r="B23" i="1" s="1"/>
  <c r="B17" i="1"/>
  <c r="B25" i="1" l="1"/>
  <c r="B24" i="1"/>
  <c r="B27" i="1" l="1"/>
  <c r="B26" i="1"/>
  <c r="B28" i="1" l="1"/>
  <c r="B29" i="1"/>
  <c r="B30" i="1" l="1"/>
  <c r="B31" i="1"/>
  <c r="B32" i="1" l="1"/>
  <c r="B33" i="1"/>
  <c r="B35" i="1" l="1"/>
  <c r="B34" i="1"/>
  <c r="B37" i="1" l="1"/>
  <c r="B36" i="1"/>
  <c r="B38" i="1" l="1"/>
  <c r="B39" i="1"/>
  <c r="B41" i="1" l="1"/>
  <c r="B40" i="1"/>
  <c r="B42" i="1" l="1"/>
  <c r="B43" i="1"/>
  <c r="B44" i="1"/>
  <c r="B45" i="1" l="1"/>
  <c r="B46" i="1"/>
  <c r="B48" i="1" l="1"/>
  <c r="B47" i="1"/>
  <c r="B49" i="1" l="1"/>
  <c r="B50" i="1"/>
  <c r="B51" i="1" l="1"/>
  <c r="B52" i="1"/>
  <c r="B54" i="1" l="1"/>
  <c r="B53" i="1"/>
  <c r="B56" i="1" l="1"/>
  <c r="B55" i="1"/>
  <c r="B58" i="1" l="1"/>
  <c r="B57" i="1"/>
  <c r="B60" i="1" l="1"/>
  <c r="B59" i="1"/>
  <c r="B61" i="1" l="1"/>
  <c r="B62" i="1"/>
  <c r="B63" i="1" l="1"/>
  <c r="B64" i="1"/>
  <c r="B65" i="1" l="1"/>
  <c r="B66" i="1"/>
  <c r="B68" i="1" l="1"/>
  <c r="B67" i="1"/>
  <c r="B70" i="1" l="1"/>
  <c r="B69" i="1"/>
  <c r="B71" i="1" l="1"/>
  <c r="B72" i="1"/>
  <c r="B73" i="1" l="1"/>
  <c r="B74" i="1"/>
  <c r="B76" i="1" l="1"/>
  <c r="B75" i="1"/>
  <c r="B77" i="1" l="1"/>
  <c r="B78" i="1"/>
  <c r="B80" i="1" l="1"/>
  <c r="B79" i="1"/>
  <c r="B82" i="1" l="1"/>
  <c r="B81" i="1"/>
  <c r="B85" i="1" l="1"/>
  <c r="B83" i="1"/>
  <c r="B84" i="1"/>
  <c r="B87" i="1" l="1"/>
  <c r="B86" i="1"/>
  <c r="B88" i="1" l="1"/>
  <c r="B89" i="1"/>
  <c r="B91" i="1" l="1"/>
  <c r="B90" i="1"/>
  <c r="B92" i="1" l="1"/>
  <c r="B93" i="1"/>
  <c r="B94" i="1" l="1"/>
  <c r="B95" i="1"/>
  <c r="B96" i="1" l="1"/>
  <c r="B97" i="1"/>
  <c r="B99" i="1" l="1"/>
  <c r="B98" i="1"/>
  <c r="B100" i="1" l="1"/>
  <c r="B103" i="1" l="1"/>
  <c r="B5" i="2" l="1"/>
  <c r="B4" i="2"/>
  <c r="B6" i="2"/>
  <c r="B9" i="2" s="1"/>
  <c r="B12" i="2" s="1"/>
  <c r="B15" i="2" s="1"/>
  <c r="B18" i="2" s="1"/>
  <c r="B21" i="2" s="1"/>
  <c r="B24" i="2" s="1"/>
  <c r="B27" i="2" s="1"/>
  <c r="B30" i="2" s="1"/>
  <c r="B33" i="2" s="1"/>
  <c r="B36" i="2" s="1"/>
  <c r="B39" i="2" s="1"/>
  <c r="B42" i="2" s="1"/>
  <c r="B44" i="2" s="1"/>
  <c r="B34" i="2" l="1"/>
  <c r="B35" i="2"/>
  <c r="B14" i="2"/>
  <c r="B26" i="2"/>
  <c r="B10" i="2"/>
  <c r="B22" i="2"/>
  <c r="B11" i="2"/>
  <c r="B23" i="2"/>
  <c r="B13" i="2"/>
  <c r="B25" i="2"/>
  <c r="B37" i="2"/>
  <c r="B38" i="2"/>
  <c r="B40" i="2"/>
  <c r="B41" i="2"/>
  <c r="B43" i="2"/>
  <c r="B16" i="2"/>
  <c r="B28" i="2"/>
  <c r="B17" i="2"/>
  <c r="B29" i="2"/>
  <c r="B7" i="2"/>
  <c r="B19" i="2"/>
  <c r="B31" i="2"/>
  <c r="B8" i="2"/>
  <c r="B20" i="2"/>
  <c r="B32" i="2"/>
  <c r="M6" i="2"/>
  <c r="O20" i="2" l="1"/>
  <c r="N20" i="2"/>
  <c r="Q20" i="2" s="1"/>
  <c r="O19" i="2"/>
  <c r="N19" i="2"/>
  <c r="Q19" i="2" s="1"/>
  <c r="M18" i="2"/>
  <c r="P18" i="2" s="1"/>
  <c r="L18" i="2"/>
  <c r="O18" i="2" s="1"/>
  <c r="O17" i="2"/>
  <c r="N17" i="2"/>
  <c r="Q17" i="2" s="1"/>
  <c r="O16" i="2"/>
  <c r="N16" i="2"/>
  <c r="Q16" i="2" s="1"/>
  <c r="M15" i="2"/>
  <c r="P15" i="2" s="1"/>
  <c r="L15" i="2"/>
  <c r="O15" i="2" s="1"/>
  <c r="O14" i="2"/>
  <c r="N14" i="2"/>
  <c r="Q14" i="2" s="1"/>
  <c r="O13" i="2"/>
  <c r="N13" i="2"/>
  <c r="Q13" i="2" s="1"/>
  <c r="M12" i="2"/>
  <c r="P12" i="2" s="1"/>
  <c r="L12" i="2"/>
  <c r="O12" i="2" s="1"/>
  <c r="R17" i="2" l="1"/>
  <c r="R16" i="2"/>
  <c r="R14" i="2"/>
  <c r="R13" i="2"/>
  <c r="R19" i="2"/>
  <c r="R20" i="2"/>
  <c r="Q18" i="2"/>
  <c r="Q15" i="2"/>
  <c r="Q12" i="2"/>
  <c r="O32" i="2"/>
  <c r="N32" i="2"/>
  <c r="Q32" i="2" s="1"/>
  <c r="O31" i="2"/>
  <c r="N31" i="2"/>
  <c r="Q31" i="2" s="1"/>
  <c r="M30" i="2"/>
  <c r="P30" i="2" s="1"/>
  <c r="L30" i="2"/>
  <c r="O30" i="2" s="1"/>
  <c r="O29" i="2"/>
  <c r="N29" i="2"/>
  <c r="Q29" i="2" s="1"/>
  <c r="O28" i="2"/>
  <c r="N28" i="2"/>
  <c r="Q28" i="2" s="1"/>
  <c r="M27" i="2"/>
  <c r="P27" i="2" s="1"/>
  <c r="L27" i="2"/>
  <c r="O27" i="2" s="1"/>
  <c r="R31" i="2" l="1"/>
  <c r="R32" i="2"/>
  <c r="R28" i="2"/>
  <c r="R12" i="2"/>
  <c r="R15" i="2"/>
  <c r="R29" i="2"/>
  <c r="R18" i="2"/>
  <c r="Q27" i="2"/>
  <c r="Q30" i="2"/>
  <c r="R30" i="2" l="1"/>
  <c r="R27" i="2"/>
  <c r="O11" i="2" l="1"/>
  <c r="N11" i="2"/>
  <c r="Q11" i="2" s="1"/>
  <c r="O10" i="2"/>
  <c r="N10" i="2"/>
  <c r="Q10" i="2" s="1"/>
  <c r="M9" i="2"/>
  <c r="P9" i="2" s="1"/>
  <c r="L9" i="2"/>
  <c r="O9" i="2" s="1"/>
  <c r="N8" i="2"/>
  <c r="Q8" i="2" s="1"/>
  <c r="N7" i="2"/>
  <c r="Q7" i="2" s="1"/>
  <c r="P6" i="2"/>
  <c r="M3" i="2"/>
  <c r="N4" i="2"/>
  <c r="L6" i="2"/>
  <c r="O6" i="2" s="1"/>
  <c r="O8" i="2"/>
  <c r="O7" i="2"/>
  <c r="M21" i="2"/>
  <c r="R7" i="2" l="1"/>
  <c r="R11" i="2"/>
  <c r="R8" i="2"/>
  <c r="R10" i="2"/>
  <c r="Q9" i="2"/>
  <c r="Q6" i="2"/>
  <c r="R9" i="2" l="1"/>
  <c r="R6" i="2"/>
  <c r="M24" i="2" l="1"/>
  <c r="P24" i="2" s="1"/>
  <c r="L24" i="2"/>
  <c r="O24" i="2" s="1"/>
  <c r="O26" i="2"/>
  <c r="N26" i="2"/>
  <c r="Q26" i="2" s="1"/>
  <c r="O25" i="2"/>
  <c r="N25" i="2"/>
  <c r="Q25" i="2" s="1"/>
  <c r="R26" i="2" l="1"/>
  <c r="R25" i="2"/>
  <c r="Q24" i="2"/>
  <c r="R24" i="2" l="1"/>
  <c r="O44" i="2" l="1"/>
  <c r="N44" i="2"/>
  <c r="Q44" i="2" s="1"/>
  <c r="O43" i="2"/>
  <c r="N43" i="2"/>
  <c r="Q43" i="2" s="1"/>
  <c r="M42" i="2"/>
  <c r="P42" i="2" s="1"/>
  <c r="L42" i="2"/>
  <c r="O42" i="2" s="1"/>
  <c r="O41" i="2"/>
  <c r="N41" i="2"/>
  <c r="Q41" i="2" s="1"/>
  <c r="O40" i="2"/>
  <c r="N40" i="2"/>
  <c r="Q40" i="2" s="1"/>
  <c r="M39" i="2"/>
  <c r="P39" i="2" s="1"/>
  <c r="L39" i="2"/>
  <c r="O39" i="2" s="1"/>
  <c r="O38" i="2"/>
  <c r="N38" i="2"/>
  <c r="Q38" i="2" s="1"/>
  <c r="O37" i="2"/>
  <c r="N37" i="2"/>
  <c r="Q37" i="2" s="1"/>
  <c r="M36" i="2"/>
  <c r="P36" i="2" s="1"/>
  <c r="L36" i="2"/>
  <c r="O36" i="2" s="1"/>
  <c r="O35" i="2"/>
  <c r="N35" i="2"/>
  <c r="Q35" i="2" s="1"/>
  <c r="O34" i="2"/>
  <c r="N34" i="2"/>
  <c r="Q34" i="2" s="1"/>
  <c r="M33" i="2"/>
  <c r="P33" i="2" s="1"/>
  <c r="L33" i="2"/>
  <c r="O33" i="2" s="1"/>
  <c r="O23" i="2"/>
  <c r="N23" i="2"/>
  <c r="Q23" i="2" s="1"/>
  <c r="O22" i="2"/>
  <c r="N22" i="2"/>
  <c r="Q22" i="2" s="1"/>
  <c r="P21" i="2"/>
  <c r="L21" i="2"/>
  <c r="O21" i="2" s="1"/>
  <c r="O5" i="2"/>
  <c r="N5" i="2"/>
  <c r="Q5" i="2" s="1"/>
  <c r="O4" i="2"/>
  <c r="Q4" i="2"/>
  <c r="P3" i="2"/>
  <c r="L3" i="2"/>
  <c r="O3" i="2" s="1"/>
  <c r="R34" i="2" l="1"/>
  <c r="R35" i="2"/>
  <c r="R40" i="2"/>
  <c r="R41" i="2"/>
  <c r="R5" i="2"/>
  <c r="R43" i="2"/>
  <c r="R44" i="2"/>
  <c r="R22" i="2"/>
  <c r="R37" i="2"/>
  <c r="R23" i="2"/>
  <c r="R38" i="2"/>
  <c r="R4" i="2"/>
  <c r="Q3" i="2"/>
  <c r="Q36" i="2"/>
  <c r="Q21" i="2"/>
  <c r="Q33" i="2"/>
  <c r="Q42" i="2"/>
  <c r="Q39" i="2"/>
  <c r="R39" i="2" l="1"/>
  <c r="R42" i="2"/>
  <c r="R33" i="2"/>
  <c r="R21" i="2"/>
  <c r="R36" i="2"/>
  <c r="R3" i="2"/>
</calcChain>
</file>

<file path=xl/sharedStrings.xml><?xml version="1.0" encoding="utf-8"?>
<sst xmlns="http://schemas.openxmlformats.org/spreadsheetml/2006/main" count="1093" uniqueCount="121">
  <si>
    <t xml:space="preserve">REGIÓN </t>
  </si>
  <si>
    <t>CÓDIGO LICITACIÓN</t>
  </si>
  <si>
    <t>TIPO</t>
  </si>
  <si>
    <t>MODELO</t>
  </si>
  <si>
    <t>COMUNA BASE PREFERENTE</t>
  </si>
  <si>
    <t>COBERTURA</t>
  </si>
  <si>
    <t>EDAD</t>
  </si>
  <si>
    <t>SEXO</t>
  </si>
  <si>
    <t>COSTO NIÑO MES</t>
  </si>
  <si>
    <t xml:space="preserve">MONTO ANUAL </t>
  </si>
  <si>
    <t>MONTO PERIODO A LICITAR</t>
  </si>
  <si>
    <t>PERIODO A LICITAR (AÑOS)</t>
  </si>
  <si>
    <t>R - CENTROS RESIDENCIALES</t>
  </si>
  <si>
    <t>RLP</t>
  </si>
  <si>
    <t>IQUIQUE</t>
  </si>
  <si>
    <t>REGIONAL</t>
  </si>
  <si>
    <t>0 a 5 años, 11 meses y 29 días</t>
  </si>
  <si>
    <t>A</t>
  </si>
  <si>
    <t>1 año</t>
  </si>
  <si>
    <t>P - PROGRAMAS</t>
  </si>
  <si>
    <t>PER</t>
  </si>
  <si>
    <t>REM</t>
  </si>
  <si>
    <t>ANTOFAGASTA</t>
  </si>
  <si>
    <t>14 a 17 años, 11 meses y 29 días</t>
  </si>
  <si>
    <t>M</t>
  </si>
  <si>
    <t>1 año y 6 meses</t>
  </si>
  <si>
    <t>FREIRINA</t>
  </si>
  <si>
    <t>6 a 17 años, 11 meses y 29 días</t>
  </si>
  <si>
    <t>COPIAPÓ</t>
  </si>
  <si>
    <t>11 meses</t>
  </si>
  <si>
    <t>ILLAPEL</t>
  </si>
  <si>
    <t>2 años</t>
  </si>
  <si>
    <t>VIÑA DEL MAR</t>
  </si>
  <si>
    <t>6 a 12 años, 11 meses y 29 días</t>
  </si>
  <si>
    <t>4 años</t>
  </si>
  <si>
    <t xml:space="preserve">REM </t>
  </si>
  <si>
    <t>LOS ANDES</t>
  </si>
  <si>
    <t>PROVINCIA LOS ANDES Y PROVINCIA SAN FELIPE</t>
  </si>
  <si>
    <t>6 a 17 años, 11 meses, 29 días</t>
  </si>
  <si>
    <t>F</t>
  </si>
  <si>
    <t>2 años y 6 meses</t>
  </si>
  <si>
    <t>PER*</t>
  </si>
  <si>
    <t>VALPARAÍSO</t>
  </si>
  <si>
    <t>6 a 11 años, 11 meses y 29 días</t>
  </si>
  <si>
    <t>3 años, 1 mes y 15 días</t>
  </si>
  <si>
    <t>Desde el inicio del PER hasta el 
16-11-2024</t>
  </si>
  <si>
    <t>VILLA ALEMANA</t>
  </si>
  <si>
    <t>6 a17 años, 11 meses y 29 días</t>
  </si>
  <si>
    <t>9 meses y 3 días</t>
  </si>
  <si>
    <t>Desde el inicio del PER hasta el 
04-07-2022</t>
  </si>
  <si>
    <t>QUILLOTA</t>
  </si>
  <si>
    <t>PROVINCIA QUILLOTA</t>
  </si>
  <si>
    <t>SAN FELIPE</t>
  </si>
  <si>
    <t>3 meses</t>
  </si>
  <si>
    <t>Desde el inicio del PER hasta el 
01-01-2022</t>
  </si>
  <si>
    <t>PROVINICA QUILLOTA</t>
  </si>
  <si>
    <t>SAN VICENTE</t>
  </si>
  <si>
    <t>RANCAGUA</t>
  </si>
  <si>
    <t>LINARES</t>
  </si>
  <si>
    <t>PROVINCIAL</t>
  </si>
  <si>
    <t>12 a 17 años, 11 meses y 29 días</t>
  </si>
  <si>
    <t>TALCA</t>
  </si>
  <si>
    <t>CONSTITUCIÓN</t>
  </si>
  <si>
    <t>CURICÓ</t>
  </si>
  <si>
    <t>CAUQUENES</t>
  </si>
  <si>
    <t>RDS</t>
  </si>
  <si>
    <t>HUALPÉN</t>
  </si>
  <si>
    <t>PRE</t>
  </si>
  <si>
    <t>PPE</t>
  </si>
  <si>
    <t>TALCAHUANO</t>
  </si>
  <si>
    <t>CONCEPCIÓN</t>
  </si>
  <si>
    <t>CHIGUAYANTE</t>
  </si>
  <si>
    <t>CAÑETE</t>
  </si>
  <si>
    <t>LOS ÁNGELES</t>
  </si>
  <si>
    <t>PUERTO MONTT</t>
  </si>
  <si>
    <t>OSORNO</t>
  </si>
  <si>
    <t>ANCUD</t>
  </si>
  <si>
    <t>PUERTO VARAS</t>
  </si>
  <si>
    <t>COIHAIQUE</t>
  </si>
  <si>
    <t>BUIN</t>
  </si>
  <si>
    <t>3 años y 6 meses</t>
  </si>
  <si>
    <t>PEÑAFLOR</t>
  </si>
  <si>
    <t>PUENTE ALTO</t>
  </si>
  <si>
    <t>PEÑALOLÉN</t>
  </si>
  <si>
    <t>0 a 17 años, 11 meses y 29 días</t>
  </si>
  <si>
    <t>LA FLORIDA</t>
  </si>
  <si>
    <t>5 años</t>
  </si>
  <si>
    <t>RMA</t>
  </si>
  <si>
    <t>PANGUIPULLI</t>
  </si>
  <si>
    <t>0 a 17 años, 11 meses, 29 días</t>
  </si>
  <si>
    <t>VALDIVIA</t>
  </si>
  <si>
    <t>CHILLÁN</t>
  </si>
  <si>
    <t>BULNES</t>
  </si>
  <si>
    <t>SAN CARLOS</t>
  </si>
  <si>
    <t>4 a 17 años, 11 meses y 29 días</t>
  </si>
  <si>
    <t>PRD</t>
  </si>
  <si>
    <t>(*)</t>
  </si>
  <si>
    <t>PER ASIGNADOS A RESIDENCIAS ACTUALMENTE EN EJECUCIÓN EN LA REGIÓN DE VALPARAÍSO</t>
  </si>
  <si>
    <t xml:space="preserve">ANEXO Nº1 : PLAZAS A LICITAR Y FOCALIZACIÓN TERRITORIAL </t>
  </si>
  <si>
    <t>FOCALIZACIÓN TERRITORIAL</t>
  </si>
  <si>
    <t>NÚMERO DE PLAZAS TOTALES</t>
  </si>
  <si>
    <t>NÚMERO DE PLAZAS SIN ACERCAMIENTO FAMILIAR Y SIN DISCAPACIDAD</t>
  </si>
  <si>
    <t>NÚMERO DE PLAZAS CON ACERCAMIENTO FAMILIAR Y CON DISCAPACIDAD</t>
  </si>
  <si>
    <t>COSTO NIÑO MES SIN ACERCAMIENTO FAMILIAR Y SIN DISCAPACIDAD</t>
  </si>
  <si>
    <t>COSTO NIÑO MES CON ACERCAMIENTO FAMILIAR Y CON DISCAPACIDAD</t>
  </si>
  <si>
    <t>COSTO NIÑO MES PROGRAMAS</t>
  </si>
  <si>
    <t>MONTO ANUAL SIN ACERCAMIENTO FAMILIAR Y SIN DISCAPACIDAD</t>
  </si>
  <si>
    <t>MONTO ANUAL CON ACERCAMIENTO FAMILIAR Y CON DISCAPACIDAD</t>
  </si>
  <si>
    <t>MONTO ANUAL TOTAL</t>
  </si>
  <si>
    <t>RVA</t>
  </si>
  <si>
    <t>CHAÑARAL</t>
  </si>
  <si>
    <t>N/A</t>
  </si>
  <si>
    <t>LA SERENA</t>
  </si>
  <si>
    <t>LA SERENA - COQUIMBO - OVALLE</t>
  </si>
  <si>
    <t>3 años</t>
  </si>
  <si>
    <t>RVT</t>
  </si>
  <si>
    <t>9 a 13 años, 11 meses y 29 días</t>
  </si>
  <si>
    <t>4 años y 6 meses</t>
  </si>
  <si>
    <t>PUNTA ARENAS</t>
  </si>
  <si>
    <t>RECOLETA</t>
  </si>
  <si>
    <t>ANEXO N° 1"PLAZAS A LICITAR Y FOCALIZACIÓN TERRITORIAL"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</si>
</sst>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/>
    <xf numFmtId="0" fontId="9" fillId="3" borderId="0" applyNumberFormat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164" fontId="12" fillId="0" borderId="2" xfId="0" applyNumberFormat="1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20% - Énfasis1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zoomScale="86" zoomScaleNormal="86" zoomScaleSheetLayoutView="85" workbookViewId="0">
      <selection activeCell="F3" sqref="F3"/>
    </sheetView>
  </sheetViews>
  <sheetFormatPr baseColWidth="10" defaultColWidth="11.42578125" defaultRowHeight="18" customHeight="1" x14ac:dyDescent="0.25"/>
  <cols>
    <col min="1" max="1" width="10" style="7" customWidth="1"/>
    <col min="2" max="2" width="15" style="5" customWidth="1"/>
    <col min="3" max="3" width="14" style="5" customWidth="1"/>
    <col min="4" max="4" width="11.42578125" style="5" customWidth="1"/>
    <col min="5" max="5" width="29.140625" style="5" customWidth="1"/>
    <col min="6" max="6" width="21.7109375" style="5" customWidth="1"/>
    <col min="7" max="7" width="18.85546875" style="5" customWidth="1"/>
    <col min="8" max="8" width="21.140625" style="5" customWidth="1"/>
    <col min="9" max="9" width="11.42578125" style="5" customWidth="1"/>
    <col min="10" max="10" width="15.42578125" style="8" customWidth="1"/>
    <col min="11" max="11" width="21.140625" style="8" customWidth="1"/>
    <col min="12" max="12" width="18" style="8" customWidth="1"/>
    <col min="13" max="13" width="21.28515625" style="9" customWidth="1"/>
    <col min="14" max="14" width="24.85546875" style="9" customWidth="1"/>
    <col min="15" max="16384" width="11.42578125" style="6"/>
  </cols>
  <sheetData>
    <row r="1" spans="1:14" ht="18" customHeight="1" x14ac:dyDescent="0.25">
      <c r="A1" s="7" t="s">
        <v>120</v>
      </c>
      <c r="I1" s="10">
        <v>9</v>
      </c>
      <c r="J1" s="11">
        <v>21</v>
      </c>
      <c r="K1" s="12">
        <v>17240</v>
      </c>
    </row>
    <row r="3" spans="1:14" s="13" customFormat="1" ht="4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99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11</v>
      </c>
    </row>
    <row r="4" spans="1:14" s="16" customFormat="1" ht="30" customHeight="1" x14ac:dyDescent="0.25">
      <c r="A4" s="3">
        <v>1</v>
      </c>
      <c r="B4" s="3">
        <v>7036</v>
      </c>
      <c r="C4" s="4" t="s">
        <v>12</v>
      </c>
      <c r="D4" s="3" t="s">
        <v>13</v>
      </c>
      <c r="E4" s="3" t="s">
        <v>14</v>
      </c>
      <c r="F4" s="3" t="s">
        <v>15</v>
      </c>
      <c r="G4" s="3">
        <v>25</v>
      </c>
      <c r="H4" s="3" t="s">
        <v>16</v>
      </c>
      <c r="I4" s="3" t="s">
        <v>17</v>
      </c>
      <c r="J4" s="14">
        <f>((($I$1*(28+178)%)+$I$1)+(($J$1*(28+90)%)+$J$1))*$K$1</f>
        <v>1264036.7999999998</v>
      </c>
      <c r="K4" s="15">
        <f>J4*G4*12</f>
        <v>379211039.99999994</v>
      </c>
      <c r="L4" s="15">
        <f t="shared" ref="L4:L9" si="0">K4*N4</f>
        <v>379211039.99999994</v>
      </c>
      <c r="M4" s="2" t="s">
        <v>18</v>
      </c>
      <c r="N4" s="3">
        <v>1</v>
      </c>
    </row>
    <row r="5" spans="1:14" s="16" customFormat="1" ht="29.25" customHeight="1" x14ac:dyDescent="0.25">
      <c r="A5" s="3">
        <v>1</v>
      </c>
      <c r="B5" s="3">
        <f>B4</f>
        <v>7036</v>
      </c>
      <c r="C5" s="4" t="s">
        <v>19</v>
      </c>
      <c r="D5" s="3" t="s">
        <v>20</v>
      </c>
      <c r="E5" s="3" t="s">
        <v>14</v>
      </c>
      <c r="F5" s="3" t="s">
        <v>15</v>
      </c>
      <c r="G5" s="3">
        <v>25</v>
      </c>
      <c r="H5" s="3" t="s">
        <v>16</v>
      </c>
      <c r="I5" s="3" t="s">
        <v>17</v>
      </c>
      <c r="J5" s="14">
        <f>((9.3*28%)+9.3)*$K$1</f>
        <v>205224.96000000002</v>
      </c>
      <c r="K5" s="15">
        <f t="shared" ref="K5:K87" si="1">J5*G5*12</f>
        <v>61567488.000000015</v>
      </c>
      <c r="L5" s="15">
        <f t="shared" si="0"/>
        <v>61567488.000000015</v>
      </c>
      <c r="M5" s="2" t="s">
        <v>18</v>
      </c>
      <c r="N5" s="3">
        <v>1</v>
      </c>
    </row>
    <row r="6" spans="1:14" s="16" customFormat="1" ht="28.5" customHeight="1" x14ac:dyDescent="0.25">
      <c r="A6" s="3">
        <v>2</v>
      </c>
      <c r="B6" s="3">
        <f>B4+1</f>
        <v>7037</v>
      </c>
      <c r="C6" s="4" t="s">
        <v>12</v>
      </c>
      <c r="D6" s="3" t="s">
        <v>21</v>
      </c>
      <c r="E6" s="3" t="s">
        <v>22</v>
      </c>
      <c r="F6" s="3" t="s">
        <v>15</v>
      </c>
      <c r="G6" s="3">
        <v>20</v>
      </c>
      <c r="H6" s="3" t="s">
        <v>23</v>
      </c>
      <c r="I6" s="3" t="s">
        <v>24</v>
      </c>
      <c r="J6" s="14">
        <f>((($I$1*(28+192)%)+$I$1)+(($J$1*28%)+$J$1))*$K$1</f>
        <v>959923.20000000007</v>
      </c>
      <c r="K6" s="15">
        <f t="shared" si="1"/>
        <v>230381568</v>
      </c>
      <c r="L6" s="15">
        <f t="shared" si="0"/>
        <v>345572352</v>
      </c>
      <c r="M6" s="2" t="s">
        <v>25</v>
      </c>
      <c r="N6" s="3">
        <v>1.5</v>
      </c>
    </row>
    <row r="7" spans="1:14" s="16" customFormat="1" ht="29.25" customHeight="1" x14ac:dyDescent="0.25">
      <c r="A7" s="3">
        <v>2</v>
      </c>
      <c r="B7" s="3">
        <f>B6</f>
        <v>7037</v>
      </c>
      <c r="C7" s="4" t="s">
        <v>19</v>
      </c>
      <c r="D7" s="3" t="s">
        <v>20</v>
      </c>
      <c r="E7" s="3" t="s">
        <v>22</v>
      </c>
      <c r="F7" s="3" t="s">
        <v>15</v>
      </c>
      <c r="G7" s="3">
        <v>20</v>
      </c>
      <c r="H7" s="3" t="s">
        <v>23</v>
      </c>
      <c r="I7" s="3" t="s">
        <v>24</v>
      </c>
      <c r="J7" s="14">
        <f>((9.3*28%)+9.3)*$K$1</f>
        <v>205224.96000000002</v>
      </c>
      <c r="K7" s="15">
        <f t="shared" si="1"/>
        <v>49253990.400000006</v>
      </c>
      <c r="L7" s="15">
        <f t="shared" si="0"/>
        <v>73880985.600000009</v>
      </c>
      <c r="M7" s="2" t="s">
        <v>25</v>
      </c>
      <c r="N7" s="3">
        <v>1.5</v>
      </c>
    </row>
    <row r="8" spans="1:14" s="16" customFormat="1" ht="32.25" customHeight="1" x14ac:dyDescent="0.25">
      <c r="A8" s="3">
        <v>3</v>
      </c>
      <c r="B8" s="3">
        <f>B6+1</f>
        <v>7038</v>
      </c>
      <c r="C8" s="4" t="s">
        <v>12</v>
      </c>
      <c r="D8" s="3" t="s">
        <v>21</v>
      </c>
      <c r="E8" s="3" t="s">
        <v>26</v>
      </c>
      <c r="F8" s="3" t="s">
        <v>15</v>
      </c>
      <c r="G8" s="3">
        <v>25</v>
      </c>
      <c r="H8" s="3" t="s">
        <v>27</v>
      </c>
      <c r="I8" s="3" t="s">
        <v>17</v>
      </c>
      <c r="J8" s="14">
        <f>((($I$1*(14+178)%)+$I$1)+(($J$1*14%)+$J$1))*$K$1</f>
        <v>865792.79999999993</v>
      </c>
      <c r="K8" s="15">
        <f t="shared" si="1"/>
        <v>259737840</v>
      </c>
      <c r="L8" s="15">
        <f t="shared" si="0"/>
        <v>389606760</v>
      </c>
      <c r="M8" s="2" t="s">
        <v>25</v>
      </c>
      <c r="N8" s="3">
        <v>1.5</v>
      </c>
    </row>
    <row r="9" spans="1:14" s="16" customFormat="1" ht="34.5" customHeight="1" x14ac:dyDescent="0.25">
      <c r="A9" s="3">
        <v>3</v>
      </c>
      <c r="B9" s="3">
        <f>B8</f>
        <v>7038</v>
      </c>
      <c r="C9" s="4" t="s">
        <v>19</v>
      </c>
      <c r="D9" s="3" t="s">
        <v>20</v>
      </c>
      <c r="E9" s="3" t="s">
        <v>26</v>
      </c>
      <c r="F9" s="3" t="s">
        <v>15</v>
      </c>
      <c r="G9" s="3">
        <v>25</v>
      </c>
      <c r="H9" s="3" t="s">
        <v>27</v>
      </c>
      <c r="I9" s="3" t="s">
        <v>17</v>
      </c>
      <c r="J9" s="14">
        <f>((9.3*14%)+9.3)*$K$1</f>
        <v>182778.48</v>
      </c>
      <c r="K9" s="15">
        <f t="shared" si="1"/>
        <v>54833544</v>
      </c>
      <c r="L9" s="15">
        <f t="shared" si="0"/>
        <v>82250316</v>
      </c>
      <c r="M9" s="2" t="s">
        <v>25</v>
      </c>
      <c r="N9" s="3">
        <v>1.5</v>
      </c>
    </row>
    <row r="10" spans="1:14" s="16" customFormat="1" ht="29.25" customHeight="1" x14ac:dyDescent="0.25">
      <c r="A10" s="3">
        <v>3</v>
      </c>
      <c r="B10" s="3">
        <f>B8+1</f>
        <v>7039</v>
      </c>
      <c r="C10" s="4" t="s">
        <v>12</v>
      </c>
      <c r="D10" s="3" t="s">
        <v>13</v>
      </c>
      <c r="E10" s="3" t="s">
        <v>28</v>
      </c>
      <c r="F10" s="3" t="s">
        <v>15</v>
      </c>
      <c r="G10" s="3">
        <v>30</v>
      </c>
      <c r="H10" s="3" t="s">
        <v>16</v>
      </c>
      <c r="I10" s="3" t="s">
        <v>17</v>
      </c>
      <c r="J10" s="14">
        <f>((($I$1*(14+178)%)+$I$1)+(($J$1*(14+90)%)+$J$1))*$K$1</f>
        <v>1191628.8</v>
      </c>
      <c r="K10" s="15">
        <f t="shared" si="1"/>
        <v>428986368</v>
      </c>
      <c r="L10" s="15">
        <f>(K10/12)*11</f>
        <v>393237504</v>
      </c>
      <c r="M10" s="2" t="s">
        <v>29</v>
      </c>
      <c r="N10" s="3"/>
    </row>
    <row r="11" spans="1:14" s="16" customFormat="1" ht="34.5" customHeight="1" x14ac:dyDescent="0.25">
      <c r="A11" s="3">
        <v>3</v>
      </c>
      <c r="B11" s="3">
        <f>B10</f>
        <v>7039</v>
      </c>
      <c r="C11" s="4" t="s">
        <v>19</v>
      </c>
      <c r="D11" s="3" t="s">
        <v>20</v>
      </c>
      <c r="E11" s="3" t="s">
        <v>28</v>
      </c>
      <c r="F11" s="3" t="s">
        <v>15</v>
      </c>
      <c r="G11" s="3">
        <v>30</v>
      </c>
      <c r="H11" s="3" t="s">
        <v>16</v>
      </c>
      <c r="I11" s="3" t="s">
        <v>17</v>
      </c>
      <c r="J11" s="14">
        <f>((9.3*14%)+9.3)*$K$1</f>
        <v>182778.48</v>
      </c>
      <c r="K11" s="15">
        <f t="shared" si="1"/>
        <v>65800252.800000004</v>
      </c>
      <c r="L11" s="15">
        <f>(K11/12)*11</f>
        <v>60316898.400000006</v>
      </c>
      <c r="M11" s="2" t="s">
        <v>29</v>
      </c>
      <c r="N11" s="3"/>
    </row>
    <row r="12" spans="1:14" s="16" customFormat="1" ht="33.75" customHeight="1" x14ac:dyDescent="0.25">
      <c r="A12" s="3">
        <v>4</v>
      </c>
      <c r="B12" s="3">
        <f>B10+1</f>
        <v>7040</v>
      </c>
      <c r="C12" s="4" t="s">
        <v>12</v>
      </c>
      <c r="D12" s="3" t="s">
        <v>13</v>
      </c>
      <c r="E12" s="3" t="s">
        <v>30</v>
      </c>
      <c r="F12" s="3" t="s">
        <v>15</v>
      </c>
      <c r="G12" s="3">
        <v>12</v>
      </c>
      <c r="H12" s="3" t="s">
        <v>16</v>
      </c>
      <c r="I12" s="3" t="s">
        <v>17</v>
      </c>
      <c r="J12" s="14">
        <f>((($I$1*(28+192)%)+$I$1)+(($J$1*(28+90)%)+$J$1))*$K$1</f>
        <v>1285759.2</v>
      </c>
      <c r="K12" s="15">
        <f t="shared" si="1"/>
        <v>185149324.79999998</v>
      </c>
      <c r="L12" s="15">
        <f t="shared" ref="L12:L17" si="2">K12*N12</f>
        <v>370298649.59999996</v>
      </c>
      <c r="M12" s="2" t="s">
        <v>31</v>
      </c>
      <c r="N12" s="3">
        <v>2</v>
      </c>
    </row>
    <row r="13" spans="1:14" s="16" customFormat="1" ht="28.5" customHeight="1" x14ac:dyDescent="0.25">
      <c r="A13" s="3">
        <v>4</v>
      </c>
      <c r="B13" s="3">
        <f>B12</f>
        <v>7040</v>
      </c>
      <c r="C13" s="4" t="s">
        <v>19</v>
      </c>
      <c r="D13" s="3" t="s">
        <v>20</v>
      </c>
      <c r="E13" s="3" t="s">
        <v>30</v>
      </c>
      <c r="F13" s="3" t="s">
        <v>15</v>
      </c>
      <c r="G13" s="3">
        <v>12</v>
      </c>
      <c r="H13" s="3" t="s">
        <v>16</v>
      </c>
      <c r="I13" s="3" t="s">
        <v>17</v>
      </c>
      <c r="J13" s="14">
        <f>((9.3*28%)+9.3)*$K$1</f>
        <v>205224.96000000002</v>
      </c>
      <c r="K13" s="15">
        <f t="shared" si="1"/>
        <v>29552394.240000006</v>
      </c>
      <c r="L13" s="15">
        <f t="shared" si="2"/>
        <v>59104788.480000012</v>
      </c>
      <c r="M13" s="2" t="s">
        <v>31</v>
      </c>
      <c r="N13" s="3">
        <v>2</v>
      </c>
    </row>
    <row r="14" spans="1:14" s="16" customFormat="1" ht="25.5" customHeight="1" x14ac:dyDescent="0.25">
      <c r="A14" s="3">
        <v>5</v>
      </c>
      <c r="B14" s="3">
        <f>B12+1</f>
        <v>7041</v>
      </c>
      <c r="C14" s="4" t="s">
        <v>12</v>
      </c>
      <c r="D14" s="3" t="s">
        <v>21</v>
      </c>
      <c r="E14" s="3" t="s">
        <v>32</v>
      </c>
      <c r="F14" s="3" t="s">
        <v>15</v>
      </c>
      <c r="G14" s="3">
        <v>12</v>
      </c>
      <c r="H14" s="3" t="s">
        <v>33</v>
      </c>
      <c r="I14" s="3" t="s">
        <v>17</v>
      </c>
      <c r="J14" s="14">
        <f>((($I$1*(0+192)%)+$I$1)+(($J$1*0%)+$J$1))*$K$1</f>
        <v>815107.20000000007</v>
      </c>
      <c r="K14" s="15">
        <f t="shared" si="1"/>
        <v>117375436.80000001</v>
      </c>
      <c r="L14" s="15">
        <f t="shared" si="2"/>
        <v>469501747.20000005</v>
      </c>
      <c r="M14" s="2" t="s">
        <v>34</v>
      </c>
      <c r="N14" s="3">
        <v>4</v>
      </c>
    </row>
    <row r="15" spans="1:14" s="16" customFormat="1" ht="38.25" customHeight="1" x14ac:dyDescent="0.25">
      <c r="A15" s="3">
        <v>5</v>
      </c>
      <c r="B15" s="3">
        <f>B14</f>
        <v>7041</v>
      </c>
      <c r="C15" s="4" t="s">
        <v>19</v>
      </c>
      <c r="D15" s="3" t="s">
        <v>20</v>
      </c>
      <c r="E15" s="3" t="s">
        <v>32</v>
      </c>
      <c r="F15" s="3" t="s">
        <v>15</v>
      </c>
      <c r="G15" s="3">
        <v>12</v>
      </c>
      <c r="H15" s="3" t="s">
        <v>33</v>
      </c>
      <c r="I15" s="3" t="s">
        <v>17</v>
      </c>
      <c r="J15" s="14">
        <f>((9.3*0%)+9.3)*$K$1</f>
        <v>160332</v>
      </c>
      <c r="K15" s="15">
        <f t="shared" si="1"/>
        <v>23087808</v>
      </c>
      <c r="L15" s="15">
        <f t="shared" si="2"/>
        <v>92351232</v>
      </c>
      <c r="M15" s="2" t="s">
        <v>34</v>
      </c>
      <c r="N15" s="3">
        <v>4</v>
      </c>
    </row>
    <row r="16" spans="1:14" s="16" customFormat="1" ht="39" customHeight="1" x14ac:dyDescent="0.25">
      <c r="A16" s="3">
        <v>5</v>
      </c>
      <c r="B16" s="3">
        <f>B14+1</f>
        <v>7042</v>
      </c>
      <c r="C16" s="4" t="s">
        <v>12</v>
      </c>
      <c r="D16" s="3" t="s">
        <v>35</v>
      </c>
      <c r="E16" s="3" t="s">
        <v>36</v>
      </c>
      <c r="F16" s="3" t="s">
        <v>37</v>
      </c>
      <c r="G16" s="3">
        <v>20</v>
      </c>
      <c r="H16" s="3" t="s">
        <v>38</v>
      </c>
      <c r="I16" s="3" t="s">
        <v>39</v>
      </c>
      <c r="J16" s="14">
        <f>((($I$1*(0+192)%)+$I$1)+(($J$1*0%)+$J$1))*$K$1</f>
        <v>815107.20000000007</v>
      </c>
      <c r="K16" s="15">
        <f t="shared" si="1"/>
        <v>195625728.00000003</v>
      </c>
      <c r="L16" s="15">
        <f t="shared" si="2"/>
        <v>489064320.00000006</v>
      </c>
      <c r="M16" s="2" t="s">
        <v>40</v>
      </c>
      <c r="N16" s="3">
        <v>2.5</v>
      </c>
    </row>
    <row r="17" spans="1:14" s="16" customFormat="1" ht="27" customHeight="1" x14ac:dyDescent="0.25">
      <c r="A17" s="3">
        <v>5</v>
      </c>
      <c r="B17" s="3">
        <f>B16</f>
        <v>7042</v>
      </c>
      <c r="C17" s="4" t="s">
        <v>19</v>
      </c>
      <c r="D17" s="3" t="s">
        <v>20</v>
      </c>
      <c r="E17" s="3" t="s">
        <v>36</v>
      </c>
      <c r="F17" s="3" t="s">
        <v>37</v>
      </c>
      <c r="G17" s="3">
        <v>20</v>
      </c>
      <c r="H17" s="3" t="s">
        <v>38</v>
      </c>
      <c r="I17" s="3" t="s">
        <v>39</v>
      </c>
      <c r="J17" s="14">
        <f t="shared" ref="J17:J22" si="3">((9.3*0%)+9.3)*$K$1</f>
        <v>160332</v>
      </c>
      <c r="K17" s="15">
        <f t="shared" si="1"/>
        <v>38479680</v>
      </c>
      <c r="L17" s="15">
        <f t="shared" si="2"/>
        <v>96199200</v>
      </c>
      <c r="M17" s="2" t="s">
        <v>40</v>
      </c>
      <c r="N17" s="3">
        <v>2.5</v>
      </c>
    </row>
    <row r="18" spans="1:14" s="16" customFormat="1" ht="30.75" customHeight="1" x14ac:dyDescent="0.25">
      <c r="A18" s="3">
        <v>5</v>
      </c>
      <c r="B18" s="3">
        <f>B16+1</f>
        <v>7043</v>
      </c>
      <c r="C18" s="4" t="s">
        <v>19</v>
      </c>
      <c r="D18" s="26" t="s">
        <v>41</v>
      </c>
      <c r="E18" s="3" t="s">
        <v>42</v>
      </c>
      <c r="F18" s="3" t="s">
        <v>15</v>
      </c>
      <c r="G18" s="3">
        <v>20</v>
      </c>
      <c r="H18" s="3" t="s">
        <v>43</v>
      </c>
      <c r="I18" s="3" t="s">
        <v>39</v>
      </c>
      <c r="J18" s="14">
        <f t="shared" si="3"/>
        <v>160332</v>
      </c>
      <c r="K18" s="15">
        <f t="shared" si="1"/>
        <v>38479680</v>
      </c>
      <c r="L18" s="15">
        <f>(K18*3)+(J18*G18)+((J18*G18)/2)</f>
        <v>120249000</v>
      </c>
      <c r="M18" s="2" t="s">
        <v>44</v>
      </c>
      <c r="N18" s="3" t="s">
        <v>45</v>
      </c>
    </row>
    <row r="19" spans="1:14" s="16" customFormat="1" ht="29.25" customHeight="1" x14ac:dyDescent="0.25">
      <c r="A19" s="3">
        <v>5</v>
      </c>
      <c r="B19" s="3">
        <f>B18+1</f>
        <v>7044</v>
      </c>
      <c r="C19" s="4" t="s">
        <v>19</v>
      </c>
      <c r="D19" s="26" t="s">
        <v>41</v>
      </c>
      <c r="E19" s="3" t="s">
        <v>46</v>
      </c>
      <c r="F19" s="3" t="s">
        <v>15</v>
      </c>
      <c r="G19" s="3">
        <v>40</v>
      </c>
      <c r="H19" s="3" t="s">
        <v>47</v>
      </c>
      <c r="I19" s="3" t="s">
        <v>24</v>
      </c>
      <c r="J19" s="14">
        <f t="shared" si="3"/>
        <v>160332</v>
      </c>
      <c r="K19" s="15">
        <f t="shared" si="1"/>
        <v>76959360</v>
      </c>
      <c r="L19" s="15">
        <f>((K19/12)*9)+((J19*G19)/30)*3</f>
        <v>58360848</v>
      </c>
      <c r="M19" s="2" t="s">
        <v>48</v>
      </c>
      <c r="N19" s="3" t="s">
        <v>49</v>
      </c>
    </row>
    <row r="20" spans="1:14" s="16" customFormat="1" ht="34.5" customHeight="1" x14ac:dyDescent="0.25">
      <c r="A20" s="3">
        <v>5</v>
      </c>
      <c r="B20" s="3">
        <f>B19+1</f>
        <v>7045</v>
      </c>
      <c r="C20" s="4" t="s">
        <v>19</v>
      </c>
      <c r="D20" s="26" t="s">
        <v>41</v>
      </c>
      <c r="E20" s="3" t="s">
        <v>50</v>
      </c>
      <c r="F20" s="3" t="s">
        <v>51</v>
      </c>
      <c r="G20" s="3">
        <v>40</v>
      </c>
      <c r="H20" s="3" t="s">
        <v>27</v>
      </c>
      <c r="I20" s="3" t="s">
        <v>39</v>
      </c>
      <c r="J20" s="14">
        <f t="shared" si="3"/>
        <v>160332</v>
      </c>
      <c r="K20" s="15">
        <f t="shared" si="1"/>
        <v>76959360</v>
      </c>
      <c r="L20" s="15">
        <f>((K20/12)*9)+((J20*G20)/30)*3</f>
        <v>58360848</v>
      </c>
      <c r="M20" s="2" t="s">
        <v>48</v>
      </c>
      <c r="N20" s="3" t="s">
        <v>49</v>
      </c>
    </row>
    <row r="21" spans="1:14" s="16" customFormat="1" ht="33" customHeight="1" x14ac:dyDescent="0.25">
      <c r="A21" s="3">
        <v>5</v>
      </c>
      <c r="B21" s="3">
        <f>B20+1</f>
        <v>7046</v>
      </c>
      <c r="C21" s="4" t="s">
        <v>19</v>
      </c>
      <c r="D21" s="26" t="s">
        <v>41</v>
      </c>
      <c r="E21" s="3" t="s">
        <v>52</v>
      </c>
      <c r="F21" s="3" t="s">
        <v>15</v>
      </c>
      <c r="G21" s="3">
        <v>22</v>
      </c>
      <c r="H21" s="3" t="s">
        <v>27</v>
      </c>
      <c r="I21" s="3" t="s">
        <v>17</v>
      </c>
      <c r="J21" s="14">
        <f t="shared" si="3"/>
        <v>160332</v>
      </c>
      <c r="K21" s="15">
        <f t="shared" si="1"/>
        <v>42327648</v>
      </c>
      <c r="L21" s="15">
        <f>(K21/12)*3</f>
        <v>10581912</v>
      </c>
      <c r="M21" s="2" t="s">
        <v>53</v>
      </c>
      <c r="N21" s="3" t="s">
        <v>54</v>
      </c>
    </row>
    <row r="22" spans="1:14" s="16" customFormat="1" ht="30.75" customHeight="1" x14ac:dyDescent="0.25">
      <c r="A22" s="3">
        <v>5</v>
      </c>
      <c r="B22" s="3">
        <f>B21+1</f>
        <v>7047</v>
      </c>
      <c r="C22" s="4" t="s">
        <v>19</v>
      </c>
      <c r="D22" s="26" t="s">
        <v>41</v>
      </c>
      <c r="E22" s="3" t="s">
        <v>50</v>
      </c>
      <c r="F22" s="3" t="s">
        <v>55</v>
      </c>
      <c r="G22" s="3">
        <v>18</v>
      </c>
      <c r="H22" s="3" t="s">
        <v>27</v>
      </c>
      <c r="I22" s="3" t="s">
        <v>17</v>
      </c>
      <c r="J22" s="14">
        <f t="shared" si="3"/>
        <v>160332</v>
      </c>
      <c r="K22" s="15">
        <f t="shared" si="1"/>
        <v>34631712</v>
      </c>
      <c r="L22" s="15">
        <f>((K22/12)*9)+((J22*G22)/30)*3</f>
        <v>26262381.600000001</v>
      </c>
      <c r="M22" s="2" t="s">
        <v>48</v>
      </c>
      <c r="N22" s="3" t="s">
        <v>49</v>
      </c>
    </row>
    <row r="23" spans="1:14" s="16" customFormat="1" ht="28.5" customHeight="1" x14ac:dyDescent="0.25">
      <c r="A23" s="3">
        <v>6</v>
      </c>
      <c r="B23" s="3">
        <f>B22+1</f>
        <v>7048</v>
      </c>
      <c r="C23" s="4" t="s">
        <v>12</v>
      </c>
      <c r="D23" s="3" t="s">
        <v>21</v>
      </c>
      <c r="E23" s="3" t="s">
        <v>56</v>
      </c>
      <c r="F23" s="3" t="s">
        <v>15</v>
      </c>
      <c r="G23" s="3">
        <v>20</v>
      </c>
      <c r="H23" s="3" t="s">
        <v>27</v>
      </c>
      <c r="I23" s="3" t="s">
        <v>39</v>
      </c>
      <c r="J23" s="14">
        <f>((($I$1*(0+192)%)+$I$1)+(($J$1*0%)+$J$1))*$K$1</f>
        <v>815107.20000000007</v>
      </c>
      <c r="K23" s="15">
        <f t="shared" si="1"/>
        <v>195625728.00000003</v>
      </c>
      <c r="L23" s="15">
        <f t="shared" ref="L23:L65" si="4">K23*N23</f>
        <v>391251456.00000006</v>
      </c>
      <c r="M23" s="2" t="s">
        <v>31</v>
      </c>
      <c r="N23" s="3">
        <v>2</v>
      </c>
    </row>
    <row r="24" spans="1:14" s="16" customFormat="1" ht="29.25" customHeight="1" x14ac:dyDescent="0.25">
      <c r="A24" s="3">
        <v>6</v>
      </c>
      <c r="B24" s="3">
        <f>B23</f>
        <v>7048</v>
      </c>
      <c r="C24" s="4" t="s">
        <v>19</v>
      </c>
      <c r="D24" s="3" t="s">
        <v>20</v>
      </c>
      <c r="E24" s="3" t="s">
        <v>56</v>
      </c>
      <c r="F24" s="3" t="s">
        <v>15</v>
      </c>
      <c r="G24" s="3">
        <v>20</v>
      </c>
      <c r="H24" s="3" t="s">
        <v>27</v>
      </c>
      <c r="I24" s="3" t="s">
        <v>39</v>
      </c>
      <c r="J24" s="14">
        <f>((9.3*0%)+9.3)*$K$1</f>
        <v>160332</v>
      </c>
      <c r="K24" s="15">
        <f t="shared" si="1"/>
        <v>38479680</v>
      </c>
      <c r="L24" s="15">
        <f t="shared" si="4"/>
        <v>76959360</v>
      </c>
      <c r="M24" s="2" t="s">
        <v>31</v>
      </c>
      <c r="N24" s="3">
        <v>2</v>
      </c>
    </row>
    <row r="25" spans="1:14" s="16" customFormat="1" ht="29.25" customHeight="1" x14ac:dyDescent="0.25">
      <c r="A25" s="3">
        <v>6</v>
      </c>
      <c r="B25" s="3">
        <f>B23+1</f>
        <v>7049</v>
      </c>
      <c r="C25" s="4" t="s">
        <v>12</v>
      </c>
      <c r="D25" s="3" t="s">
        <v>21</v>
      </c>
      <c r="E25" s="3" t="s">
        <v>57</v>
      </c>
      <c r="F25" s="3" t="s">
        <v>15</v>
      </c>
      <c r="G25" s="3">
        <v>20</v>
      </c>
      <c r="H25" s="3" t="s">
        <v>27</v>
      </c>
      <c r="I25" s="3" t="s">
        <v>24</v>
      </c>
      <c r="J25" s="14">
        <f>((($I$1*(0+192)%)+$I$1)+(($J$1*0%)+$J$1))*$K$1</f>
        <v>815107.20000000007</v>
      </c>
      <c r="K25" s="15">
        <f t="shared" si="1"/>
        <v>195625728.00000003</v>
      </c>
      <c r="L25" s="15">
        <f t="shared" si="4"/>
        <v>391251456.00000006</v>
      </c>
      <c r="M25" s="2" t="s">
        <v>31</v>
      </c>
      <c r="N25" s="3">
        <v>2</v>
      </c>
    </row>
    <row r="26" spans="1:14" s="16" customFormat="1" ht="27.75" customHeight="1" x14ac:dyDescent="0.25">
      <c r="A26" s="3">
        <v>6</v>
      </c>
      <c r="B26" s="3">
        <f>B25</f>
        <v>7049</v>
      </c>
      <c r="C26" s="4" t="s">
        <v>19</v>
      </c>
      <c r="D26" s="3" t="s">
        <v>20</v>
      </c>
      <c r="E26" s="3" t="s">
        <v>57</v>
      </c>
      <c r="F26" s="3" t="s">
        <v>15</v>
      </c>
      <c r="G26" s="3">
        <v>20</v>
      </c>
      <c r="H26" s="3" t="s">
        <v>27</v>
      </c>
      <c r="I26" s="3" t="s">
        <v>24</v>
      </c>
      <c r="J26" s="14">
        <f>((9.3*0%)+9.3)*$K$1</f>
        <v>160332</v>
      </c>
      <c r="K26" s="15">
        <f t="shared" si="1"/>
        <v>38479680</v>
      </c>
      <c r="L26" s="15">
        <f t="shared" si="4"/>
        <v>76959360</v>
      </c>
      <c r="M26" s="2" t="s">
        <v>31</v>
      </c>
      <c r="N26" s="3">
        <v>2</v>
      </c>
    </row>
    <row r="27" spans="1:14" s="16" customFormat="1" ht="33.75" customHeight="1" x14ac:dyDescent="0.25">
      <c r="A27" s="3">
        <v>7</v>
      </c>
      <c r="B27" s="3">
        <f>B25+1</f>
        <v>7050</v>
      </c>
      <c r="C27" s="4" t="s">
        <v>12</v>
      </c>
      <c r="D27" s="3" t="s">
        <v>21</v>
      </c>
      <c r="E27" s="3" t="s">
        <v>58</v>
      </c>
      <c r="F27" s="3" t="s">
        <v>59</v>
      </c>
      <c r="G27" s="3">
        <v>20</v>
      </c>
      <c r="H27" s="3" t="s">
        <v>60</v>
      </c>
      <c r="I27" s="3" t="s">
        <v>24</v>
      </c>
      <c r="J27" s="14">
        <f>((($I$1*(0+192)%)+$I$1)+(($J$1*0%)+$J$1))*$K$1</f>
        <v>815107.20000000007</v>
      </c>
      <c r="K27" s="15">
        <f t="shared" si="1"/>
        <v>195625728.00000003</v>
      </c>
      <c r="L27" s="15">
        <f t="shared" si="4"/>
        <v>391251456.00000006</v>
      </c>
      <c r="M27" s="2" t="s">
        <v>31</v>
      </c>
      <c r="N27" s="3">
        <v>2</v>
      </c>
    </row>
    <row r="28" spans="1:14" s="16" customFormat="1" ht="27" customHeight="1" x14ac:dyDescent="0.25">
      <c r="A28" s="3">
        <v>7</v>
      </c>
      <c r="B28" s="3">
        <f>B27</f>
        <v>7050</v>
      </c>
      <c r="C28" s="4" t="s">
        <v>19</v>
      </c>
      <c r="D28" s="3" t="s">
        <v>20</v>
      </c>
      <c r="E28" s="3" t="s">
        <v>58</v>
      </c>
      <c r="F28" s="3" t="s">
        <v>59</v>
      </c>
      <c r="G28" s="3">
        <v>20</v>
      </c>
      <c r="H28" s="3" t="s">
        <v>60</v>
      </c>
      <c r="I28" s="3" t="s">
        <v>24</v>
      </c>
      <c r="J28" s="14">
        <f>((9.3*0%)+9.3)*$K$1</f>
        <v>160332</v>
      </c>
      <c r="K28" s="15">
        <f t="shared" si="1"/>
        <v>38479680</v>
      </c>
      <c r="L28" s="15">
        <f t="shared" si="4"/>
        <v>76959360</v>
      </c>
      <c r="M28" s="2" t="s">
        <v>31</v>
      </c>
      <c r="N28" s="3">
        <v>2</v>
      </c>
    </row>
    <row r="29" spans="1:14" s="16" customFormat="1" ht="27" customHeight="1" x14ac:dyDescent="0.25">
      <c r="A29" s="3">
        <v>7</v>
      </c>
      <c r="B29" s="3">
        <f>B27+1</f>
        <v>7051</v>
      </c>
      <c r="C29" s="4" t="s">
        <v>12</v>
      </c>
      <c r="D29" s="3" t="s">
        <v>21</v>
      </c>
      <c r="E29" s="3" t="s">
        <v>61</v>
      </c>
      <c r="F29" s="3" t="s">
        <v>59</v>
      </c>
      <c r="G29" s="3">
        <v>20</v>
      </c>
      <c r="H29" s="3" t="s">
        <v>60</v>
      </c>
      <c r="I29" s="3" t="s">
        <v>39</v>
      </c>
      <c r="J29" s="14">
        <f>((($I$1*(0+192)%)+$I$1)+(($J$1*0%)+$J$1))*$K$1</f>
        <v>815107.20000000007</v>
      </c>
      <c r="K29" s="15">
        <f t="shared" si="1"/>
        <v>195625728.00000003</v>
      </c>
      <c r="L29" s="15">
        <f t="shared" si="4"/>
        <v>391251456.00000006</v>
      </c>
      <c r="M29" s="2" t="s">
        <v>31</v>
      </c>
      <c r="N29" s="3">
        <v>2</v>
      </c>
    </row>
    <row r="30" spans="1:14" s="16" customFormat="1" ht="33" customHeight="1" x14ac:dyDescent="0.25">
      <c r="A30" s="3">
        <v>7</v>
      </c>
      <c r="B30" s="3">
        <f>B29</f>
        <v>7051</v>
      </c>
      <c r="C30" s="4" t="s">
        <v>19</v>
      </c>
      <c r="D30" s="3" t="s">
        <v>20</v>
      </c>
      <c r="E30" s="3" t="s">
        <v>61</v>
      </c>
      <c r="F30" s="3" t="s">
        <v>59</v>
      </c>
      <c r="G30" s="3">
        <v>20</v>
      </c>
      <c r="H30" s="3" t="s">
        <v>60</v>
      </c>
      <c r="I30" s="3" t="s">
        <v>39</v>
      </c>
      <c r="J30" s="14">
        <f>((9.3*0%)+9.3)*$K$1</f>
        <v>160332</v>
      </c>
      <c r="K30" s="15">
        <f t="shared" si="1"/>
        <v>38479680</v>
      </c>
      <c r="L30" s="15">
        <f t="shared" si="4"/>
        <v>76959360</v>
      </c>
      <c r="M30" s="2" t="s">
        <v>31</v>
      </c>
      <c r="N30" s="3">
        <v>2</v>
      </c>
    </row>
    <row r="31" spans="1:14" s="16" customFormat="1" ht="34.5" customHeight="1" x14ac:dyDescent="0.25">
      <c r="A31" s="3">
        <v>7</v>
      </c>
      <c r="B31" s="3">
        <f>B29+1</f>
        <v>7052</v>
      </c>
      <c r="C31" s="4" t="s">
        <v>12</v>
      </c>
      <c r="D31" s="3" t="s">
        <v>21</v>
      </c>
      <c r="E31" s="3" t="s">
        <v>58</v>
      </c>
      <c r="F31" s="3" t="s">
        <v>59</v>
      </c>
      <c r="G31" s="3">
        <v>20</v>
      </c>
      <c r="H31" s="3" t="s">
        <v>60</v>
      </c>
      <c r="I31" s="3" t="s">
        <v>39</v>
      </c>
      <c r="J31" s="14">
        <f>((($I$1*(0+192)%)+$I$1)+(($J$1*0%)+$J$1))*$K$1</f>
        <v>815107.20000000007</v>
      </c>
      <c r="K31" s="15">
        <f t="shared" si="1"/>
        <v>195625728.00000003</v>
      </c>
      <c r="L31" s="15">
        <f t="shared" si="4"/>
        <v>391251456.00000006</v>
      </c>
      <c r="M31" s="2" t="s">
        <v>31</v>
      </c>
      <c r="N31" s="3">
        <v>2</v>
      </c>
    </row>
    <row r="32" spans="1:14" s="16" customFormat="1" ht="33" customHeight="1" x14ac:dyDescent="0.25">
      <c r="A32" s="3">
        <v>7</v>
      </c>
      <c r="B32" s="3">
        <f>B31</f>
        <v>7052</v>
      </c>
      <c r="C32" s="4" t="s">
        <v>19</v>
      </c>
      <c r="D32" s="3" t="s">
        <v>20</v>
      </c>
      <c r="E32" s="3" t="s">
        <v>58</v>
      </c>
      <c r="F32" s="3" t="s">
        <v>59</v>
      </c>
      <c r="G32" s="3">
        <v>20</v>
      </c>
      <c r="H32" s="3" t="s">
        <v>60</v>
      </c>
      <c r="I32" s="3" t="s">
        <v>39</v>
      </c>
      <c r="J32" s="14">
        <f>((9.3*0%)+9.3)*$K$1</f>
        <v>160332</v>
      </c>
      <c r="K32" s="15">
        <f t="shared" si="1"/>
        <v>38479680</v>
      </c>
      <c r="L32" s="15">
        <f t="shared" si="4"/>
        <v>76959360</v>
      </c>
      <c r="M32" s="2" t="s">
        <v>31</v>
      </c>
      <c r="N32" s="3">
        <v>2</v>
      </c>
    </row>
    <row r="33" spans="1:14" s="16" customFormat="1" ht="33" customHeight="1" x14ac:dyDescent="0.25">
      <c r="A33" s="3">
        <v>7</v>
      </c>
      <c r="B33" s="3">
        <f>B31+1</f>
        <v>7053</v>
      </c>
      <c r="C33" s="4" t="s">
        <v>12</v>
      </c>
      <c r="D33" s="3" t="s">
        <v>21</v>
      </c>
      <c r="E33" s="3" t="s">
        <v>62</v>
      </c>
      <c r="F33" s="3" t="s">
        <v>59</v>
      </c>
      <c r="G33" s="3">
        <v>15</v>
      </c>
      <c r="H33" s="3" t="s">
        <v>27</v>
      </c>
      <c r="I33" s="3" t="s">
        <v>39</v>
      </c>
      <c r="J33" s="14">
        <f>((($I$1*(0+192)%)+$I$1)+(($J$1*0%)+$J$1))*$K$1</f>
        <v>815107.20000000007</v>
      </c>
      <c r="K33" s="15">
        <f t="shared" si="1"/>
        <v>146719296.00000003</v>
      </c>
      <c r="L33" s="15">
        <f t="shared" si="4"/>
        <v>366798240.00000006</v>
      </c>
      <c r="M33" s="2" t="s">
        <v>40</v>
      </c>
      <c r="N33" s="3">
        <v>2.5</v>
      </c>
    </row>
    <row r="34" spans="1:14" s="16" customFormat="1" ht="27" customHeight="1" x14ac:dyDescent="0.25">
      <c r="A34" s="3">
        <v>7</v>
      </c>
      <c r="B34" s="3">
        <f>B33</f>
        <v>7053</v>
      </c>
      <c r="C34" s="4" t="s">
        <v>19</v>
      </c>
      <c r="D34" s="3" t="s">
        <v>20</v>
      </c>
      <c r="E34" s="3" t="s">
        <v>62</v>
      </c>
      <c r="F34" s="3" t="s">
        <v>59</v>
      </c>
      <c r="G34" s="3">
        <v>15</v>
      </c>
      <c r="H34" s="3" t="s">
        <v>27</v>
      </c>
      <c r="I34" s="3" t="s">
        <v>39</v>
      </c>
      <c r="J34" s="14">
        <f>((9.3*0%)+9.3)*$K$1</f>
        <v>160332</v>
      </c>
      <c r="K34" s="15">
        <f t="shared" si="1"/>
        <v>28859760</v>
      </c>
      <c r="L34" s="15">
        <f t="shared" si="4"/>
        <v>72149400</v>
      </c>
      <c r="M34" s="2" t="s">
        <v>40</v>
      </c>
      <c r="N34" s="3">
        <v>2.5</v>
      </c>
    </row>
    <row r="35" spans="1:14" s="16" customFormat="1" ht="27.75" customHeight="1" x14ac:dyDescent="0.25">
      <c r="A35" s="3">
        <v>7</v>
      </c>
      <c r="B35" s="3">
        <f>B33+1</f>
        <v>7054</v>
      </c>
      <c r="C35" s="4" t="s">
        <v>12</v>
      </c>
      <c r="D35" s="3" t="s">
        <v>21</v>
      </c>
      <c r="E35" s="3" t="s">
        <v>61</v>
      </c>
      <c r="F35" s="3" t="s">
        <v>59</v>
      </c>
      <c r="G35" s="3">
        <v>20</v>
      </c>
      <c r="H35" s="3" t="s">
        <v>33</v>
      </c>
      <c r="I35" s="3" t="s">
        <v>24</v>
      </c>
      <c r="J35" s="14">
        <f>((($I$1*(0+192)%)+$I$1)+(($J$1*0%)+$J$1))*$K$1</f>
        <v>815107.20000000007</v>
      </c>
      <c r="K35" s="15">
        <f t="shared" si="1"/>
        <v>195625728.00000003</v>
      </c>
      <c r="L35" s="15">
        <f t="shared" si="4"/>
        <v>391251456.00000006</v>
      </c>
      <c r="M35" s="2" t="s">
        <v>31</v>
      </c>
      <c r="N35" s="3">
        <v>2</v>
      </c>
    </row>
    <row r="36" spans="1:14" s="16" customFormat="1" ht="28.5" customHeight="1" x14ac:dyDescent="0.25">
      <c r="A36" s="3">
        <v>7</v>
      </c>
      <c r="B36" s="3">
        <f>B35</f>
        <v>7054</v>
      </c>
      <c r="C36" s="4" t="s">
        <v>19</v>
      </c>
      <c r="D36" s="3" t="s">
        <v>20</v>
      </c>
      <c r="E36" s="3" t="s">
        <v>61</v>
      </c>
      <c r="F36" s="3" t="s">
        <v>59</v>
      </c>
      <c r="G36" s="3">
        <v>20</v>
      </c>
      <c r="H36" s="3" t="s">
        <v>33</v>
      </c>
      <c r="I36" s="3" t="s">
        <v>24</v>
      </c>
      <c r="J36" s="14">
        <f>((9.3*0%)+9.3)*$K$1</f>
        <v>160332</v>
      </c>
      <c r="K36" s="15">
        <f t="shared" si="1"/>
        <v>38479680</v>
      </c>
      <c r="L36" s="15">
        <f t="shared" si="4"/>
        <v>76959360</v>
      </c>
      <c r="M36" s="2" t="s">
        <v>31</v>
      </c>
      <c r="N36" s="3">
        <v>2</v>
      </c>
    </row>
    <row r="37" spans="1:14" s="16" customFormat="1" ht="25.5" customHeight="1" x14ac:dyDescent="0.25">
      <c r="A37" s="3">
        <v>7</v>
      </c>
      <c r="B37" s="3">
        <f>B35+1</f>
        <v>7055</v>
      </c>
      <c r="C37" s="4" t="s">
        <v>12</v>
      </c>
      <c r="D37" s="3" t="s">
        <v>13</v>
      </c>
      <c r="E37" s="3" t="s">
        <v>63</v>
      </c>
      <c r="F37" s="3" t="s">
        <v>59</v>
      </c>
      <c r="G37" s="3">
        <v>20</v>
      </c>
      <c r="H37" s="3" t="s">
        <v>16</v>
      </c>
      <c r="I37" s="3" t="s">
        <v>17</v>
      </c>
      <c r="J37" s="14">
        <f>((($I$1*(0+192)%)+$I$1)+(($J$1*(0+90)%)+$J$1))*$K$1</f>
        <v>1140943.2000000002</v>
      </c>
      <c r="K37" s="15">
        <f t="shared" si="1"/>
        <v>273826368.00000006</v>
      </c>
      <c r="L37" s="15">
        <f t="shared" si="4"/>
        <v>273826368.00000006</v>
      </c>
      <c r="M37" s="2" t="s">
        <v>18</v>
      </c>
      <c r="N37" s="3">
        <v>1</v>
      </c>
    </row>
    <row r="38" spans="1:14" s="16" customFormat="1" ht="39.75" customHeight="1" x14ac:dyDescent="0.25">
      <c r="A38" s="3">
        <v>7</v>
      </c>
      <c r="B38" s="3">
        <f>B37</f>
        <v>7055</v>
      </c>
      <c r="C38" s="4" t="s">
        <v>19</v>
      </c>
      <c r="D38" s="3" t="s">
        <v>20</v>
      </c>
      <c r="E38" s="3" t="s">
        <v>63</v>
      </c>
      <c r="F38" s="3" t="s">
        <v>59</v>
      </c>
      <c r="G38" s="3">
        <v>20</v>
      </c>
      <c r="H38" s="3" t="s">
        <v>16</v>
      </c>
      <c r="I38" s="3" t="s">
        <v>17</v>
      </c>
      <c r="J38" s="14">
        <f>((9.3*0%)+9.3)*$K$1</f>
        <v>160332</v>
      </c>
      <c r="K38" s="15">
        <f t="shared" si="1"/>
        <v>38479680</v>
      </c>
      <c r="L38" s="15">
        <f t="shared" si="4"/>
        <v>38479680</v>
      </c>
      <c r="M38" s="2" t="s">
        <v>18</v>
      </c>
      <c r="N38" s="3">
        <v>1</v>
      </c>
    </row>
    <row r="39" spans="1:14" s="16" customFormat="1" ht="30" customHeight="1" x14ac:dyDescent="0.25">
      <c r="A39" s="3">
        <v>7</v>
      </c>
      <c r="B39" s="3">
        <f>B37+1</f>
        <v>7056</v>
      </c>
      <c r="C39" s="4" t="s">
        <v>12</v>
      </c>
      <c r="D39" s="3" t="s">
        <v>21</v>
      </c>
      <c r="E39" s="3" t="s">
        <v>64</v>
      </c>
      <c r="F39" s="3" t="s">
        <v>59</v>
      </c>
      <c r="G39" s="3">
        <v>39</v>
      </c>
      <c r="H39" s="3" t="s">
        <v>27</v>
      </c>
      <c r="I39" s="3" t="s">
        <v>24</v>
      </c>
      <c r="J39" s="14">
        <f>((($I$1*(14+178)%)+$I$1)+(($J$1*14%)+$J$1))*$K$1</f>
        <v>865792.79999999993</v>
      </c>
      <c r="K39" s="15">
        <f t="shared" si="1"/>
        <v>405191030.39999998</v>
      </c>
      <c r="L39" s="15">
        <f t="shared" si="4"/>
        <v>405191030.39999998</v>
      </c>
      <c r="M39" s="2" t="s">
        <v>18</v>
      </c>
      <c r="N39" s="3">
        <v>1</v>
      </c>
    </row>
    <row r="40" spans="1:14" s="16" customFormat="1" ht="27" customHeight="1" x14ac:dyDescent="0.25">
      <c r="A40" s="3">
        <v>7</v>
      </c>
      <c r="B40" s="3">
        <f>B39</f>
        <v>7056</v>
      </c>
      <c r="C40" s="4" t="s">
        <v>19</v>
      </c>
      <c r="D40" s="3" t="s">
        <v>20</v>
      </c>
      <c r="E40" s="3" t="s">
        <v>64</v>
      </c>
      <c r="F40" s="3" t="s">
        <v>59</v>
      </c>
      <c r="G40" s="3">
        <v>39</v>
      </c>
      <c r="H40" s="3" t="s">
        <v>27</v>
      </c>
      <c r="I40" s="3" t="s">
        <v>24</v>
      </c>
      <c r="J40" s="14">
        <f>((9.3*14%)+9.3)*$K$1</f>
        <v>182778.48</v>
      </c>
      <c r="K40" s="15">
        <f t="shared" si="1"/>
        <v>85540328.640000015</v>
      </c>
      <c r="L40" s="15">
        <f t="shared" si="4"/>
        <v>85540328.640000015</v>
      </c>
      <c r="M40" s="2" t="s">
        <v>18</v>
      </c>
      <c r="N40" s="3">
        <v>1</v>
      </c>
    </row>
    <row r="41" spans="1:14" s="16" customFormat="1" ht="27" customHeight="1" x14ac:dyDescent="0.25">
      <c r="A41" s="3">
        <v>8</v>
      </c>
      <c r="B41" s="3">
        <f>B39+1</f>
        <v>7057</v>
      </c>
      <c r="C41" s="4" t="s">
        <v>12</v>
      </c>
      <c r="D41" s="3" t="s">
        <v>65</v>
      </c>
      <c r="E41" s="3" t="s">
        <v>66</v>
      </c>
      <c r="F41" s="3" t="s">
        <v>59</v>
      </c>
      <c r="G41" s="3">
        <v>20</v>
      </c>
      <c r="H41" s="3" t="s">
        <v>27</v>
      </c>
      <c r="I41" s="3" t="s">
        <v>17</v>
      </c>
      <c r="J41" s="14">
        <f>((($I$1*(14+192)%)+$I$1)+(($J$1*(14+42.5)%)+$J$1))*$K$1</f>
        <v>1041382.2</v>
      </c>
      <c r="K41" s="15">
        <f t="shared" si="1"/>
        <v>249931728</v>
      </c>
      <c r="L41" s="15">
        <f t="shared" si="4"/>
        <v>499863456</v>
      </c>
      <c r="M41" s="2" t="s">
        <v>31</v>
      </c>
      <c r="N41" s="3">
        <v>2</v>
      </c>
    </row>
    <row r="42" spans="1:14" s="16" customFormat="1" ht="33.75" customHeight="1" x14ac:dyDescent="0.25">
      <c r="A42" s="3">
        <v>8</v>
      </c>
      <c r="B42" s="3">
        <f>B41</f>
        <v>7057</v>
      </c>
      <c r="C42" s="4" t="s">
        <v>19</v>
      </c>
      <c r="D42" s="3" t="s">
        <v>67</v>
      </c>
      <c r="E42" s="3" t="s">
        <v>66</v>
      </c>
      <c r="F42" s="3" t="s">
        <v>59</v>
      </c>
      <c r="G42" s="3">
        <v>20</v>
      </c>
      <c r="H42" s="3" t="s">
        <v>27</v>
      </c>
      <c r="I42" s="3" t="s">
        <v>17</v>
      </c>
      <c r="J42" s="14">
        <f>((9.3*14%)+9.3)*$K$1</f>
        <v>182778.48</v>
      </c>
      <c r="K42" s="15">
        <f t="shared" si="1"/>
        <v>43866835.200000003</v>
      </c>
      <c r="L42" s="15">
        <f t="shared" si="4"/>
        <v>87733670.400000006</v>
      </c>
      <c r="M42" s="2" t="s">
        <v>31</v>
      </c>
      <c r="N42" s="3">
        <v>2</v>
      </c>
    </row>
    <row r="43" spans="1:14" s="16" customFormat="1" ht="34.5" customHeight="1" x14ac:dyDescent="0.25">
      <c r="A43" s="3">
        <v>8</v>
      </c>
      <c r="B43" s="3">
        <f>B41</f>
        <v>7057</v>
      </c>
      <c r="C43" s="4" t="s">
        <v>19</v>
      </c>
      <c r="D43" s="3" t="s">
        <v>68</v>
      </c>
      <c r="E43" s="3" t="s">
        <v>66</v>
      </c>
      <c r="F43" s="3" t="s">
        <v>59</v>
      </c>
      <c r="G43" s="3">
        <v>20</v>
      </c>
      <c r="H43" s="3" t="s">
        <v>27</v>
      </c>
      <c r="I43" s="3" t="s">
        <v>17</v>
      </c>
      <c r="J43" s="14">
        <f>((9.3*14%)+9.3)*$K$1</f>
        <v>182778.48</v>
      </c>
      <c r="K43" s="15">
        <f t="shared" si="1"/>
        <v>43866835.200000003</v>
      </c>
      <c r="L43" s="15">
        <f t="shared" si="4"/>
        <v>87733670.400000006</v>
      </c>
      <c r="M43" s="2" t="s">
        <v>31</v>
      </c>
      <c r="N43" s="3">
        <v>2</v>
      </c>
    </row>
    <row r="44" spans="1:14" s="16" customFormat="1" ht="30" customHeight="1" x14ac:dyDescent="0.25">
      <c r="A44" s="3">
        <v>8</v>
      </c>
      <c r="B44" s="3">
        <f>B41+1</f>
        <v>7058</v>
      </c>
      <c r="C44" s="4" t="s">
        <v>12</v>
      </c>
      <c r="D44" s="3" t="s">
        <v>21</v>
      </c>
      <c r="E44" s="3" t="s">
        <v>69</v>
      </c>
      <c r="F44" s="3" t="s">
        <v>59</v>
      </c>
      <c r="G44" s="3">
        <v>20</v>
      </c>
      <c r="H44" s="3" t="s">
        <v>43</v>
      </c>
      <c r="I44" s="3" t="s">
        <v>39</v>
      </c>
      <c r="J44" s="14">
        <f>((($I$1*(14+192)%)+$I$1)+(($J$1*14%)+$J$1))*$K$1</f>
        <v>887515.20000000007</v>
      </c>
      <c r="K44" s="15">
        <f t="shared" si="1"/>
        <v>213003648</v>
      </c>
      <c r="L44" s="15">
        <f t="shared" si="4"/>
        <v>426007296</v>
      </c>
      <c r="M44" s="2" t="s">
        <v>31</v>
      </c>
      <c r="N44" s="3">
        <v>2</v>
      </c>
    </row>
    <row r="45" spans="1:14" s="16" customFormat="1" ht="27" customHeight="1" x14ac:dyDescent="0.25">
      <c r="A45" s="3">
        <v>8</v>
      </c>
      <c r="B45" s="3">
        <f>B44</f>
        <v>7058</v>
      </c>
      <c r="C45" s="4" t="s">
        <v>19</v>
      </c>
      <c r="D45" s="3" t="s">
        <v>20</v>
      </c>
      <c r="E45" s="3" t="s">
        <v>69</v>
      </c>
      <c r="F45" s="3" t="s">
        <v>59</v>
      </c>
      <c r="G45" s="3">
        <v>20</v>
      </c>
      <c r="H45" s="3" t="s">
        <v>43</v>
      </c>
      <c r="I45" s="3" t="s">
        <v>39</v>
      </c>
      <c r="J45" s="14">
        <f>((9.3*14%)+9.3)*$K$1</f>
        <v>182778.48</v>
      </c>
      <c r="K45" s="15">
        <f t="shared" si="1"/>
        <v>43866835.200000003</v>
      </c>
      <c r="L45" s="15">
        <f t="shared" si="4"/>
        <v>87733670.400000006</v>
      </c>
      <c r="M45" s="2" t="s">
        <v>31</v>
      </c>
      <c r="N45" s="3">
        <v>2</v>
      </c>
    </row>
    <row r="46" spans="1:14" s="16" customFormat="1" ht="29.25" customHeight="1" x14ac:dyDescent="0.25">
      <c r="A46" s="3">
        <v>8</v>
      </c>
      <c r="B46" s="3">
        <f>B44+1</f>
        <v>7059</v>
      </c>
      <c r="C46" s="4" t="s">
        <v>12</v>
      </c>
      <c r="D46" s="3" t="s">
        <v>21</v>
      </c>
      <c r="E46" s="3" t="s">
        <v>70</v>
      </c>
      <c r="F46" s="3" t="s">
        <v>15</v>
      </c>
      <c r="G46" s="3">
        <v>20</v>
      </c>
      <c r="H46" s="3" t="s">
        <v>27</v>
      </c>
      <c r="I46" s="3" t="s">
        <v>39</v>
      </c>
      <c r="J46" s="14">
        <f>((($I$1*(14+192)%)+$I$1)+(($J$1*14%)+$J$1))*$K$1</f>
        <v>887515.20000000007</v>
      </c>
      <c r="K46" s="15">
        <f t="shared" si="1"/>
        <v>213003648</v>
      </c>
      <c r="L46" s="15">
        <f t="shared" si="4"/>
        <v>426007296</v>
      </c>
      <c r="M46" s="2" t="s">
        <v>31</v>
      </c>
      <c r="N46" s="3">
        <v>2</v>
      </c>
    </row>
    <row r="47" spans="1:14" s="16" customFormat="1" ht="30" customHeight="1" x14ac:dyDescent="0.25">
      <c r="A47" s="3">
        <v>8</v>
      </c>
      <c r="B47" s="3">
        <f>B46</f>
        <v>7059</v>
      </c>
      <c r="C47" s="4" t="s">
        <v>19</v>
      </c>
      <c r="D47" s="3" t="s">
        <v>20</v>
      </c>
      <c r="E47" s="3" t="s">
        <v>70</v>
      </c>
      <c r="F47" s="3" t="s">
        <v>15</v>
      </c>
      <c r="G47" s="3">
        <v>20</v>
      </c>
      <c r="H47" s="3" t="s">
        <v>27</v>
      </c>
      <c r="I47" s="3" t="s">
        <v>39</v>
      </c>
      <c r="J47" s="14">
        <f>((9.3*14%)+9.3)*$K$1</f>
        <v>182778.48</v>
      </c>
      <c r="K47" s="15">
        <f t="shared" si="1"/>
        <v>43866835.200000003</v>
      </c>
      <c r="L47" s="15">
        <f t="shared" si="4"/>
        <v>87733670.400000006</v>
      </c>
      <c r="M47" s="2" t="s">
        <v>31</v>
      </c>
      <c r="N47" s="3">
        <v>2</v>
      </c>
    </row>
    <row r="48" spans="1:14" s="16" customFormat="1" ht="30" customHeight="1" x14ac:dyDescent="0.25">
      <c r="A48" s="3">
        <v>8</v>
      </c>
      <c r="B48" s="3">
        <f>B46+1</f>
        <v>7060</v>
      </c>
      <c r="C48" s="4" t="s">
        <v>12</v>
      </c>
      <c r="D48" s="3" t="s">
        <v>21</v>
      </c>
      <c r="E48" s="3" t="s">
        <v>71</v>
      </c>
      <c r="F48" s="3" t="s">
        <v>59</v>
      </c>
      <c r="G48" s="3">
        <v>20</v>
      </c>
      <c r="H48" s="3" t="s">
        <v>27</v>
      </c>
      <c r="I48" s="3" t="s">
        <v>39</v>
      </c>
      <c r="J48" s="14">
        <f>((($I$1*(14+192)%)+$I$1)+(($J$1*14%)+$J$1))*$K$1</f>
        <v>887515.20000000007</v>
      </c>
      <c r="K48" s="15">
        <f t="shared" si="1"/>
        <v>213003648</v>
      </c>
      <c r="L48" s="15">
        <f t="shared" si="4"/>
        <v>426007296</v>
      </c>
      <c r="M48" s="2" t="s">
        <v>31</v>
      </c>
      <c r="N48" s="3">
        <v>2</v>
      </c>
    </row>
    <row r="49" spans="1:14" s="16" customFormat="1" ht="29.25" customHeight="1" x14ac:dyDescent="0.25">
      <c r="A49" s="3">
        <v>8</v>
      </c>
      <c r="B49" s="3">
        <f>B48</f>
        <v>7060</v>
      </c>
      <c r="C49" s="4" t="s">
        <v>19</v>
      </c>
      <c r="D49" s="3" t="s">
        <v>20</v>
      </c>
      <c r="E49" s="3" t="s">
        <v>71</v>
      </c>
      <c r="F49" s="3" t="s">
        <v>59</v>
      </c>
      <c r="G49" s="3">
        <v>20</v>
      </c>
      <c r="H49" s="3" t="s">
        <v>27</v>
      </c>
      <c r="I49" s="3" t="s">
        <v>39</v>
      </c>
      <c r="J49" s="14">
        <f>((9.3*14%)+9.3)*$K$1</f>
        <v>182778.48</v>
      </c>
      <c r="K49" s="15">
        <f t="shared" si="1"/>
        <v>43866835.200000003</v>
      </c>
      <c r="L49" s="15">
        <f t="shared" si="4"/>
        <v>87733670.400000006</v>
      </c>
      <c r="M49" s="2" t="s">
        <v>31</v>
      </c>
      <c r="N49" s="3">
        <v>2</v>
      </c>
    </row>
    <row r="50" spans="1:14" s="16" customFormat="1" ht="27.75" customHeight="1" x14ac:dyDescent="0.25">
      <c r="A50" s="3">
        <v>8</v>
      </c>
      <c r="B50" s="3">
        <f>B48+1</f>
        <v>7061</v>
      </c>
      <c r="C50" s="4" t="s">
        <v>12</v>
      </c>
      <c r="D50" s="3" t="s">
        <v>21</v>
      </c>
      <c r="E50" s="3" t="s">
        <v>72</v>
      </c>
      <c r="F50" s="3" t="s">
        <v>59</v>
      </c>
      <c r="G50" s="3">
        <v>25</v>
      </c>
      <c r="H50" s="3" t="s">
        <v>27</v>
      </c>
      <c r="I50" s="3" t="s">
        <v>17</v>
      </c>
      <c r="J50" s="14">
        <f>((($I$1*(14+178)%)+$I$1)+(($J$1*14%)+$J$1))*$K$1</f>
        <v>865792.79999999993</v>
      </c>
      <c r="K50" s="15">
        <f t="shared" si="1"/>
        <v>259737840</v>
      </c>
      <c r="L50" s="15">
        <f t="shared" si="4"/>
        <v>389606760</v>
      </c>
      <c r="M50" s="2" t="s">
        <v>25</v>
      </c>
      <c r="N50" s="3">
        <v>1.5</v>
      </c>
    </row>
    <row r="51" spans="1:14" s="16" customFormat="1" ht="27.75" customHeight="1" x14ac:dyDescent="0.25">
      <c r="A51" s="3">
        <v>8</v>
      </c>
      <c r="B51" s="3">
        <f>B50</f>
        <v>7061</v>
      </c>
      <c r="C51" s="4" t="s">
        <v>19</v>
      </c>
      <c r="D51" s="3" t="s">
        <v>20</v>
      </c>
      <c r="E51" s="3" t="s">
        <v>72</v>
      </c>
      <c r="F51" s="3" t="s">
        <v>59</v>
      </c>
      <c r="G51" s="3">
        <v>25</v>
      </c>
      <c r="H51" s="3" t="s">
        <v>27</v>
      </c>
      <c r="I51" s="3" t="s">
        <v>17</v>
      </c>
      <c r="J51" s="14">
        <f>((9.3*14%)+9.3)*$K$1</f>
        <v>182778.48</v>
      </c>
      <c r="K51" s="15">
        <f t="shared" si="1"/>
        <v>54833544</v>
      </c>
      <c r="L51" s="15">
        <f t="shared" si="4"/>
        <v>82250316</v>
      </c>
      <c r="M51" s="2" t="s">
        <v>25</v>
      </c>
      <c r="N51" s="3">
        <v>1.5</v>
      </c>
    </row>
    <row r="52" spans="1:14" s="16" customFormat="1" ht="33.75" customHeight="1" x14ac:dyDescent="0.25">
      <c r="A52" s="3">
        <v>8</v>
      </c>
      <c r="B52" s="3">
        <f>B50+1</f>
        <v>7062</v>
      </c>
      <c r="C52" s="4" t="s">
        <v>12</v>
      </c>
      <c r="D52" s="3" t="s">
        <v>21</v>
      </c>
      <c r="E52" s="3" t="s">
        <v>73</v>
      </c>
      <c r="F52" s="3" t="s">
        <v>15</v>
      </c>
      <c r="G52" s="3">
        <v>20</v>
      </c>
      <c r="H52" s="3" t="s">
        <v>27</v>
      </c>
      <c r="I52" s="3" t="s">
        <v>39</v>
      </c>
      <c r="J52" s="14">
        <f>((($I$1*(14+192)%)+$I$1)+(($J$1*14%)+$J$1))*$K$1</f>
        <v>887515.20000000007</v>
      </c>
      <c r="K52" s="15">
        <f t="shared" si="1"/>
        <v>213003648</v>
      </c>
      <c r="L52" s="15">
        <f t="shared" si="4"/>
        <v>426007296</v>
      </c>
      <c r="M52" s="2" t="s">
        <v>31</v>
      </c>
      <c r="N52" s="3">
        <v>2</v>
      </c>
    </row>
    <row r="53" spans="1:14" s="16" customFormat="1" ht="30" customHeight="1" x14ac:dyDescent="0.25">
      <c r="A53" s="3">
        <v>8</v>
      </c>
      <c r="B53" s="3">
        <f>B52</f>
        <v>7062</v>
      </c>
      <c r="C53" s="4" t="s">
        <v>19</v>
      </c>
      <c r="D53" s="3" t="s">
        <v>20</v>
      </c>
      <c r="E53" s="3" t="s">
        <v>73</v>
      </c>
      <c r="F53" s="3" t="s">
        <v>15</v>
      </c>
      <c r="G53" s="3">
        <v>20</v>
      </c>
      <c r="H53" s="3" t="s">
        <v>27</v>
      </c>
      <c r="I53" s="3" t="s">
        <v>39</v>
      </c>
      <c r="J53" s="14">
        <f>((9.3*14%)+9.3)*$K$1</f>
        <v>182778.48</v>
      </c>
      <c r="K53" s="15">
        <f t="shared" si="1"/>
        <v>43866835.200000003</v>
      </c>
      <c r="L53" s="15">
        <f t="shared" si="4"/>
        <v>87733670.400000006</v>
      </c>
      <c r="M53" s="2" t="s">
        <v>31</v>
      </c>
      <c r="N53" s="3">
        <v>2</v>
      </c>
    </row>
    <row r="54" spans="1:14" s="16" customFormat="1" ht="29.25" customHeight="1" x14ac:dyDescent="0.25">
      <c r="A54" s="3">
        <v>8</v>
      </c>
      <c r="B54" s="3">
        <f>B52+1</f>
        <v>7063</v>
      </c>
      <c r="C54" s="4" t="s">
        <v>12</v>
      </c>
      <c r="D54" s="3" t="s">
        <v>21</v>
      </c>
      <c r="E54" s="3" t="s">
        <v>73</v>
      </c>
      <c r="F54" s="3" t="s">
        <v>15</v>
      </c>
      <c r="G54" s="3">
        <v>20</v>
      </c>
      <c r="H54" s="3" t="s">
        <v>27</v>
      </c>
      <c r="I54" s="3" t="s">
        <v>39</v>
      </c>
      <c r="J54" s="14">
        <f>((($I$1*(14+192)%)+$I$1)+(($J$1*14%)+$J$1))*$K$1</f>
        <v>887515.20000000007</v>
      </c>
      <c r="K54" s="15">
        <f t="shared" si="1"/>
        <v>213003648</v>
      </c>
      <c r="L54" s="15">
        <f t="shared" si="4"/>
        <v>426007296</v>
      </c>
      <c r="M54" s="2" t="s">
        <v>31</v>
      </c>
      <c r="N54" s="3">
        <v>2</v>
      </c>
    </row>
    <row r="55" spans="1:14" s="16" customFormat="1" ht="18" customHeight="1" x14ac:dyDescent="0.25">
      <c r="A55" s="3">
        <v>8</v>
      </c>
      <c r="B55" s="3">
        <f>B54</f>
        <v>7063</v>
      </c>
      <c r="C55" s="4" t="s">
        <v>19</v>
      </c>
      <c r="D55" s="3" t="s">
        <v>20</v>
      </c>
      <c r="E55" s="3" t="s">
        <v>73</v>
      </c>
      <c r="F55" s="3" t="s">
        <v>15</v>
      </c>
      <c r="G55" s="3">
        <v>20</v>
      </c>
      <c r="H55" s="3" t="s">
        <v>27</v>
      </c>
      <c r="I55" s="3" t="s">
        <v>39</v>
      </c>
      <c r="J55" s="14">
        <f>((9.3*14%)+9.3)*$K$1</f>
        <v>182778.48</v>
      </c>
      <c r="K55" s="15">
        <f t="shared" si="1"/>
        <v>43866835.200000003</v>
      </c>
      <c r="L55" s="15">
        <f t="shared" si="4"/>
        <v>87733670.400000006</v>
      </c>
      <c r="M55" s="2" t="s">
        <v>31</v>
      </c>
      <c r="N55" s="3">
        <v>2</v>
      </c>
    </row>
    <row r="56" spans="1:14" s="16" customFormat="1" ht="27" customHeight="1" x14ac:dyDescent="0.25">
      <c r="A56" s="3">
        <v>8</v>
      </c>
      <c r="B56" s="3">
        <f>B54+1</f>
        <v>7064</v>
      </c>
      <c r="C56" s="4" t="s">
        <v>12</v>
      </c>
      <c r="D56" s="3" t="s">
        <v>21</v>
      </c>
      <c r="E56" s="3" t="s">
        <v>70</v>
      </c>
      <c r="F56" s="3" t="s">
        <v>59</v>
      </c>
      <c r="G56" s="3">
        <v>40</v>
      </c>
      <c r="H56" s="3" t="s">
        <v>27</v>
      </c>
      <c r="I56" s="3" t="s">
        <v>17</v>
      </c>
      <c r="J56" s="14">
        <f>((($I$1*(14+178)%)+$I$1)+(($J$1*14%)+$J$1))*$K$1</f>
        <v>865792.79999999993</v>
      </c>
      <c r="K56" s="15">
        <f t="shared" si="1"/>
        <v>415580544</v>
      </c>
      <c r="L56" s="15">
        <f t="shared" si="4"/>
        <v>415580544</v>
      </c>
      <c r="M56" s="2" t="s">
        <v>18</v>
      </c>
      <c r="N56" s="3">
        <v>1</v>
      </c>
    </row>
    <row r="57" spans="1:14" s="16" customFormat="1" ht="29.25" customHeight="1" x14ac:dyDescent="0.25">
      <c r="A57" s="3">
        <v>8</v>
      </c>
      <c r="B57" s="3">
        <f>B56</f>
        <v>7064</v>
      </c>
      <c r="C57" s="4" t="s">
        <v>19</v>
      </c>
      <c r="D57" s="3" t="s">
        <v>20</v>
      </c>
      <c r="E57" s="3" t="s">
        <v>70</v>
      </c>
      <c r="F57" s="3" t="s">
        <v>59</v>
      </c>
      <c r="G57" s="3">
        <v>40</v>
      </c>
      <c r="H57" s="3" t="s">
        <v>27</v>
      </c>
      <c r="I57" s="3" t="s">
        <v>17</v>
      </c>
      <c r="J57" s="14">
        <f>((9.3*14%)+9.3)*$K$1</f>
        <v>182778.48</v>
      </c>
      <c r="K57" s="15">
        <f t="shared" si="1"/>
        <v>87733670.400000006</v>
      </c>
      <c r="L57" s="15">
        <f t="shared" si="4"/>
        <v>87733670.400000006</v>
      </c>
      <c r="M57" s="2" t="s">
        <v>18</v>
      </c>
      <c r="N57" s="3">
        <v>1</v>
      </c>
    </row>
    <row r="58" spans="1:14" s="16" customFormat="1" ht="27.75" customHeight="1" x14ac:dyDescent="0.25">
      <c r="A58" s="3">
        <v>10</v>
      </c>
      <c r="B58" s="3">
        <f>B56+1</f>
        <v>7065</v>
      </c>
      <c r="C58" s="4" t="s">
        <v>12</v>
      </c>
      <c r="D58" s="3" t="s">
        <v>21</v>
      </c>
      <c r="E58" s="3" t="s">
        <v>74</v>
      </c>
      <c r="F58" s="3" t="s">
        <v>59</v>
      </c>
      <c r="G58" s="3">
        <v>20</v>
      </c>
      <c r="H58" s="3" t="s">
        <v>33</v>
      </c>
      <c r="I58" s="3" t="s">
        <v>39</v>
      </c>
      <c r="J58" s="14">
        <f>((($I$1*(14+192)%)+$I$1)+(($J$1*14%)+$J$1))*$K$1</f>
        <v>887515.20000000007</v>
      </c>
      <c r="K58" s="15">
        <f t="shared" si="1"/>
        <v>213003648</v>
      </c>
      <c r="L58" s="15">
        <f t="shared" si="4"/>
        <v>319505472</v>
      </c>
      <c r="M58" s="2" t="s">
        <v>25</v>
      </c>
      <c r="N58" s="3">
        <v>1.5</v>
      </c>
    </row>
    <row r="59" spans="1:14" s="16" customFormat="1" ht="30.75" customHeight="1" x14ac:dyDescent="0.25">
      <c r="A59" s="3">
        <v>10</v>
      </c>
      <c r="B59" s="3">
        <f>B58</f>
        <v>7065</v>
      </c>
      <c r="C59" s="4" t="s">
        <v>19</v>
      </c>
      <c r="D59" s="3" t="s">
        <v>20</v>
      </c>
      <c r="E59" s="3" t="s">
        <v>74</v>
      </c>
      <c r="F59" s="3" t="s">
        <v>59</v>
      </c>
      <c r="G59" s="3">
        <v>20</v>
      </c>
      <c r="H59" s="3" t="s">
        <v>33</v>
      </c>
      <c r="I59" s="3" t="s">
        <v>39</v>
      </c>
      <c r="J59" s="14">
        <f>((9.3*14%)+9.3)*$K$1</f>
        <v>182778.48</v>
      </c>
      <c r="K59" s="15">
        <f t="shared" si="1"/>
        <v>43866835.200000003</v>
      </c>
      <c r="L59" s="15">
        <f t="shared" si="4"/>
        <v>65800252.800000004</v>
      </c>
      <c r="M59" s="2" t="s">
        <v>25</v>
      </c>
      <c r="N59" s="3">
        <v>1.5</v>
      </c>
    </row>
    <row r="60" spans="1:14" s="16" customFormat="1" ht="33" customHeight="1" x14ac:dyDescent="0.25">
      <c r="A60" s="3">
        <v>10</v>
      </c>
      <c r="B60" s="3">
        <f>B58+1</f>
        <v>7066</v>
      </c>
      <c r="C60" s="4" t="s">
        <v>12</v>
      </c>
      <c r="D60" s="3" t="s">
        <v>21</v>
      </c>
      <c r="E60" s="3" t="s">
        <v>74</v>
      </c>
      <c r="F60" s="3" t="s">
        <v>59</v>
      </c>
      <c r="G60" s="3">
        <v>20</v>
      </c>
      <c r="H60" s="3" t="s">
        <v>33</v>
      </c>
      <c r="I60" s="3" t="s">
        <v>24</v>
      </c>
      <c r="J60" s="14">
        <f>((($I$1*(14+192)%)+$I$1)+(($J$1*14%)+$J$1))*$K$1</f>
        <v>887515.20000000007</v>
      </c>
      <c r="K60" s="15">
        <f t="shared" si="1"/>
        <v>213003648</v>
      </c>
      <c r="L60" s="15">
        <f t="shared" si="4"/>
        <v>319505472</v>
      </c>
      <c r="M60" s="2" t="s">
        <v>25</v>
      </c>
      <c r="N60" s="3">
        <v>1.5</v>
      </c>
    </row>
    <row r="61" spans="1:14" s="16" customFormat="1" ht="30.75" customHeight="1" x14ac:dyDescent="0.25">
      <c r="A61" s="3">
        <v>10</v>
      </c>
      <c r="B61" s="3">
        <f>B60</f>
        <v>7066</v>
      </c>
      <c r="C61" s="4" t="s">
        <v>19</v>
      </c>
      <c r="D61" s="3" t="s">
        <v>20</v>
      </c>
      <c r="E61" s="3" t="s">
        <v>74</v>
      </c>
      <c r="F61" s="3" t="s">
        <v>59</v>
      </c>
      <c r="G61" s="3">
        <v>20</v>
      </c>
      <c r="H61" s="3" t="s">
        <v>33</v>
      </c>
      <c r="I61" s="3" t="s">
        <v>24</v>
      </c>
      <c r="J61" s="14">
        <f>((9.3*14%)+9.3)*$K$1</f>
        <v>182778.48</v>
      </c>
      <c r="K61" s="15">
        <f t="shared" si="1"/>
        <v>43866835.200000003</v>
      </c>
      <c r="L61" s="15">
        <f t="shared" si="4"/>
        <v>65800252.800000004</v>
      </c>
      <c r="M61" s="2" t="s">
        <v>25</v>
      </c>
      <c r="N61" s="3">
        <v>1.5</v>
      </c>
    </row>
    <row r="62" spans="1:14" s="16" customFormat="1" ht="30.75" customHeight="1" x14ac:dyDescent="0.25">
      <c r="A62" s="3">
        <v>10</v>
      </c>
      <c r="B62" s="3">
        <f>B60+1</f>
        <v>7067</v>
      </c>
      <c r="C62" s="4" t="s">
        <v>12</v>
      </c>
      <c r="D62" s="3" t="s">
        <v>21</v>
      </c>
      <c r="E62" s="3" t="s">
        <v>75</v>
      </c>
      <c r="F62" s="3" t="s">
        <v>59</v>
      </c>
      <c r="G62" s="3">
        <v>20</v>
      </c>
      <c r="H62" s="3" t="s">
        <v>33</v>
      </c>
      <c r="I62" s="3" t="s">
        <v>24</v>
      </c>
      <c r="J62" s="14">
        <f>((($I$1*(14+192)%)+$I$1)+(($J$1*14%)+$J$1))*$K$1</f>
        <v>887515.20000000007</v>
      </c>
      <c r="K62" s="15">
        <f t="shared" si="1"/>
        <v>213003648</v>
      </c>
      <c r="L62" s="15">
        <f t="shared" si="4"/>
        <v>319505472</v>
      </c>
      <c r="M62" s="2" t="s">
        <v>25</v>
      </c>
      <c r="N62" s="3">
        <v>1.5</v>
      </c>
    </row>
    <row r="63" spans="1:14" s="16" customFormat="1" ht="24.75" customHeight="1" x14ac:dyDescent="0.25">
      <c r="A63" s="3">
        <v>10</v>
      </c>
      <c r="B63" s="3">
        <f>B62</f>
        <v>7067</v>
      </c>
      <c r="C63" s="4" t="s">
        <v>19</v>
      </c>
      <c r="D63" s="3" t="s">
        <v>20</v>
      </c>
      <c r="E63" s="3" t="s">
        <v>75</v>
      </c>
      <c r="F63" s="3" t="s">
        <v>59</v>
      </c>
      <c r="G63" s="3">
        <v>20</v>
      </c>
      <c r="H63" s="3" t="s">
        <v>33</v>
      </c>
      <c r="I63" s="3" t="s">
        <v>24</v>
      </c>
      <c r="J63" s="14">
        <f>((9.3*14%)+9.3)*$K$1</f>
        <v>182778.48</v>
      </c>
      <c r="K63" s="15">
        <f t="shared" si="1"/>
        <v>43866835.200000003</v>
      </c>
      <c r="L63" s="15">
        <f t="shared" si="4"/>
        <v>65800252.800000004</v>
      </c>
      <c r="M63" s="2" t="s">
        <v>25</v>
      </c>
      <c r="N63" s="3">
        <v>1.5</v>
      </c>
    </row>
    <row r="64" spans="1:14" s="16" customFormat="1" ht="33.75" customHeight="1" x14ac:dyDescent="0.25">
      <c r="A64" s="3">
        <v>10</v>
      </c>
      <c r="B64" s="3">
        <f>B62+1</f>
        <v>7068</v>
      </c>
      <c r="C64" s="4" t="s">
        <v>12</v>
      </c>
      <c r="D64" s="3" t="s">
        <v>21</v>
      </c>
      <c r="E64" s="3" t="s">
        <v>76</v>
      </c>
      <c r="F64" s="3" t="s">
        <v>59</v>
      </c>
      <c r="G64" s="3">
        <v>20</v>
      </c>
      <c r="H64" s="3" t="s">
        <v>33</v>
      </c>
      <c r="I64" s="3" t="s">
        <v>24</v>
      </c>
      <c r="J64" s="14">
        <f>((($I$1*(28+192)%)+$I$1)+(($J$1*28%)+$J$1))*$K$1</f>
        <v>959923.20000000007</v>
      </c>
      <c r="K64" s="15">
        <f t="shared" si="1"/>
        <v>230381568</v>
      </c>
      <c r="L64" s="15">
        <f t="shared" si="4"/>
        <v>345572352</v>
      </c>
      <c r="M64" s="2" t="s">
        <v>25</v>
      </c>
      <c r="N64" s="3">
        <v>1.5</v>
      </c>
    </row>
    <row r="65" spans="1:14" s="16" customFormat="1" ht="32.25" customHeight="1" x14ac:dyDescent="0.25">
      <c r="A65" s="3">
        <v>10</v>
      </c>
      <c r="B65" s="3">
        <f>B64</f>
        <v>7068</v>
      </c>
      <c r="C65" s="4" t="s">
        <v>19</v>
      </c>
      <c r="D65" s="3" t="s">
        <v>20</v>
      </c>
      <c r="E65" s="3" t="s">
        <v>76</v>
      </c>
      <c r="F65" s="3" t="s">
        <v>59</v>
      </c>
      <c r="G65" s="3">
        <v>20</v>
      </c>
      <c r="H65" s="3" t="s">
        <v>33</v>
      </c>
      <c r="I65" s="3" t="s">
        <v>24</v>
      </c>
      <c r="J65" s="14">
        <f>((9.3*28%)+9.3)*$K$1</f>
        <v>205224.96000000002</v>
      </c>
      <c r="K65" s="15">
        <f t="shared" si="1"/>
        <v>49253990.400000006</v>
      </c>
      <c r="L65" s="15">
        <f t="shared" si="4"/>
        <v>73880985.600000009</v>
      </c>
      <c r="M65" s="2" t="s">
        <v>25</v>
      </c>
      <c r="N65" s="3">
        <v>1.5</v>
      </c>
    </row>
    <row r="66" spans="1:14" s="16" customFormat="1" ht="25.5" customHeight="1" x14ac:dyDescent="0.25">
      <c r="A66" s="3">
        <v>10</v>
      </c>
      <c r="B66" s="3">
        <f>B64+1</f>
        <v>7069</v>
      </c>
      <c r="C66" s="4" t="s">
        <v>12</v>
      </c>
      <c r="D66" s="3" t="s">
        <v>13</v>
      </c>
      <c r="E66" s="3" t="s">
        <v>77</v>
      </c>
      <c r="F66" s="3" t="s">
        <v>15</v>
      </c>
      <c r="G66" s="3">
        <v>30</v>
      </c>
      <c r="H66" s="3" t="s">
        <v>16</v>
      </c>
      <c r="I66" s="3" t="s">
        <v>17</v>
      </c>
      <c r="J66" s="14">
        <f>((($I$1*(14+178)%)+$I$1)+(($J$1*(14+90)%)+$J$1))*$K$1</f>
        <v>1191628.8</v>
      </c>
      <c r="K66" s="15">
        <f t="shared" si="1"/>
        <v>428986368</v>
      </c>
      <c r="L66" s="15">
        <f>(K66/12)*11</f>
        <v>393237504</v>
      </c>
      <c r="M66" s="2" t="s">
        <v>29</v>
      </c>
      <c r="N66" s="3">
        <v>0.9</v>
      </c>
    </row>
    <row r="67" spans="1:14" s="16" customFormat="1" ht="35.25" customHeight="1" x14ac:dyDescent="0.25">
      <c r="A67" s="3">
        <v>10</v>
      </c>
      <c r="B67" s="3">
        <f>B66</f>
        <v>7069</v>
      </c>
      <c r="C67" s="4" t="s">
        <v>19</v>
      </c>
      <c r="D67" s="3" t="s">
        <v>20</v>
      </c>
      <c r="E67" s="3" t="s">
        <v>77</v>
      </c>
      <c r="F67" s="3" t="s">
        <v>15</v>
      </c>
      <c r="G67" s="3">
        <v>30</v>
      </c>
      <c r="H67" s="3" t="s">
        <v>16</v>
      </c>
      <c r="I67" s="3" t="s">
        <v>17</v>
      </c>
      <c r="J67" s="14">
        <f>((9.3*14%)+9.3)*$K$1</f>
        <v>182778.48</v>
      </c>
      <c r="K67" s="15">
        <f t="shared" si="1"/>
        <v>65800252.800000004</v>
      </c>
      <c r="L67" s="15">
        <f>(K67/12)*11</f>
        <v>60316898.400000006</v>
      </c>
      <c r="M67" s="2" t="s">
        <v>29</v>
      </c>
      <c r="N67" s="3">
        <v>0.9</v>
      </c>
    </row>
    <row r="68" spans="1:14" s="16" customFormat="1" ht="37.5" customHeight="1" x14ac:dyDescent="0.25">
      <c r="A68" s="3">
        <v>10</v>
      </c>
      <c r="B68" s="3">
        <f>B66+1</f>
        <v>7070</v>
      </c>
      <c r="C68" s="4" t="s">
        <v>12</v>
      </c>
      <c r="D68" s="3" t="s">
        <v>21</v>
      </c>
      <c r="E68" s="3" t="s">
        <v>75</v>
      </c>
      <c r="F68" s="3" t="s">
        <v>59</v>
      </c>
      <c r="G68" s="3">
        <v>20</v>
      </c>
      <c r="H68" s="3" t="s">
        <v>33</v>
      </c>
      <c r="I68" s="3" t="s">
        <v>39</v>
      </c>
      <c r="J68" s="14">
        <f>((($I$1*(14+192)%)+$I$1)+(($J$1*14%)+$J$1))*$K$1</f>
        <v>887515.20000000007</v>
      </c>
      <c r="K68" s="15">
        <f t="shared" si="1"/>
        <v>213003648</v>
      </c>
      <c r="L68" s="15">
        <f t="shared" ref="L68:L103" si="5">K68*N68</f>
        <v>319505472</v>
      </c>
      <c r="M68" s="2" t="s">
        <v>25</v>
      </c>
      <c r="N68" s="3">
        <v>1.5</v>
      </c>
    </row>
    <row r="69" spans="1:14" s="16" customFormat="1" ht="32.25" customHeight="1" x14ac:dyDescent="0.25">
      <c r="A69" s="3">
        <v>10</v>
      </c>
      <c r="B69" s="3">
        <f>B68</f>
        <v>7070</v>
      </c>
      <c r="C69" s="4" t="s">
        <v>19</v>
      </c>
      <c r="D69" s="3" t="s">
        <v>20</v>
      </c>
      <c r="E69" s="3" t="s">
        <v>75</v>
      </c>
      <c r="F69" s="3" t="s">
        <v>59</v>
      </c>
      <c r="G69" s="3">
        <v>20</v>
      </c>
      <c r="H69" s="3" t="s">
        <v>33</v>
      </c>
      <c r="I69" s="3" t="s">
        <v>39</v>
      </c>
      <c r="J69" s="14">
        <f>((9.3*14%)+9.3)*$K$1</f>
        <v>182778.48</v>
      </c>
      <c r="K69" s="15">
        <f t="shared" si="1"/>
        <v>43866835.200000003</v>
      </c>
      <c r="L69" s="15">
        <f t="shared" si="5"/>
        <v>65800252.800000004</v>
      </c>
      <c r="M69" s="2" t="s">
        <v>25</v>
      </c>
      <c r="N69" s="3">
        <v>1.5</v>
      </c>
    </row>
    <row r="70" spans="1:14" s="16" customFormat="1" ht="32.25" customHeight="1" x14ac:dyDescent="0.25">
      <c r="A70" s="3">
        <v>11</v>
      </c>
      <c r="B70" s="3">
        <f>B68+1</f>
        <v>7071</v>
      </c>
      <c r="C70" s="4" t="s">
        <v>12</v>
      </c>
      <c r="D70" s="3" t="s">
        <v>13</v>
      </c>
      <c r="E70" s="3" t="s">
        <v>78</v>
      </c>
      <c r="F70" s="3" t="s">
        <v>15</v>
      </c>
      <c r="G70" s="3">
        <v>15</v>
      </c>
      <c r="H70" s="3" t="s">
        <v>16</v>
      </c>
      <c r="I70" s="3" t="s">
        <v>17</v>
      </c>
      <c r="J70" s="14">
        <f>((($I$1*(84+192)%)+$I$1)+(($J$1*(84+90)%)+$J$1))*$K$1</f>
        <v>1575391.2</v>
      </c>
      <c r="K70" s="15">
        <f t="shared" si="1"/>
        <v>283570416</v>
      </c>
      <c r="L70" s="15">
        <f t="shared" si="5"/>
        <v>283570416</v>
      </c>
      <c r="M70" s="2" t="s">
        <v>18</v>
      </c>
      <c r="N70" s="3">
        <v>1</v>
      </c>
    </row>
    <row r="71" spans="1:14" s="16" customFormat="1" ht="28.5" customHeight="1" x14ac:dyDescent="0.25">
      <c r="A71" s="3">
        <v>11</v>
      </c>
      <c r="B71" s="3">
        <f>B70</f>
        <v>7071</v>
      </c>
      <c r="C71" s="4" t="s">
        <v>19</v>
      </c>
      <c r="D71" s="3" t="s">
        <v>20</v>
      </c>
      <c r="E71" s="3" t="s">
        <v>78</v>
      </c>
      <c r="F71" s="3" t="s">
        <v>15</v>
      </c>
      <c r="G71" s="3">
        <v>15</v>
      </c>
      <c r="H71" s="3" t="s">
        <v>16</v>
      </c>
      <c r="I71" s="3" t="s">
        <v>17</v>
      </c>
      <c r="J71" s="14">
        <f>((9.3*84%)+9.3)*$K$1</f>
        <v>295010.88</v>
      </c>
      <c r="K71" s="15">
        <f t="shared" si="1"/>
        <v>53101958.400000006</v>
      </c>
      <c r="L71" s="15">
        <f t="shared" si="5"/>
        <v>53101958.400000006</v>
      </c>
      <c r="M71" s="2" t="s">
        <v>18</v>
      </c>
      <c r="N71" s="3">
        <v>1</v>
      </c>
    </row>
    <row r="72" spans="1:14" s="16" customFormat="1" ht="24" customHeight="1" x14ac:dyDescent="0.25">
      <c r="A72" s="3">
        <v>11</v>
      </c>
      <c r="B72" s="3">
        <f>B70+1</f>
        <v>7072</v>
      </c>
      <c r="C72" s="4" t="s">
        <v>12</v>
      </c>
      <c r="D72" s="3" t="s">
        <v>21</v>
      </c>
      <c r="E72" s="3" t="s">
        <v>78</v>
      </c>
      <c r="F72" s="3" t="s">
        <v>15</v>
      </c>
      <c r="G72" s="3">
        <v>15</v>
      </c>
      <c r="H72" s="3" t="s">
        <v>33</v>
      </c>
      <c r="I72" s="3" t="s">
        <v>17</v>
      </c>
      <c r="J72" s="14">
        <f>((($I$1*(84+192)%)+$I$1)+(($J$1*84%)+$J$1))*$K$1</f>
        <v>1249555.1999999997</v>
      </c>
      <c r="K72" s="15">
        <f t="shared" si="1"/>
        <v>224919935.99999994</v>
      </c>
      <c r="L72" s="15">
        <f t="shared" si="5"/>
        <v>337379903.99999988</v>
      </c>
      <c r="M72" s="2" t="s">
        <v>25</v>
      </c>
      <c r="N72" s="3">
        <v>1.5</v>
      </c>
    </row>
    <row r="73" spans="1:14" s="16" customFormat="1" ht="33.75" customHeight="1" x14ac:dyDescent="0.25">
      <c r="A73" s="3">
        <v>11</v>
      </c>
      <c r="B73" s="3">
        <f>B72</f>
        <v>7072</v>
      </c>
      <c r="C73" s="4" t="s">
        <v>19</v>
      </c>
      <c r="D73" s="3" t="s">
        <v>20</v>
      </c>
      <c r="E73" s="3" t="s">
        <v>78</v>
      </c>
      <c r="F73" s="3" t="s">
        <v>15</v>
      </c>
      <c r="G73" s="3">
        <v>15</v>
      </c>
      <c r="H73" s="3" t="s">
        <v>33</v>
      </c>
      <c r="I73" s="3" t="s">
        <v>17</v>
      </c>
      <c r="J73" s="14">
        <f>((9.3*84%)+9.3)*$K$1</f>
        <v>295010.88</v>
      </c>
      <c r="K73" s="15">
        <f t="shared" si="1"/>
        <v>53101958.400000006</v>
      </c>
      <c r="L73" s="15">
        <f t="shared" si="5"/>
        <v>79652937.600000009</v>
      </c>
      <c r="M73" s="2" t="s">
        <v>25</v>
      </c>
      <c r="N73" s="3">
        <v>1.5</v>
      </c>
    </row>
    <row r="74" spans="1:14" s="16" customFormat="1" ht="33" customHeight="1" x14ac:dyDescent="0.25">
      <c r="A74" s="3">
        <v>13</v>
      </c>
      <c r="B74" s="3">
        <f>B72+1</f>
        <v>7073</v>
      </c>
      <c r="C74" s="4" t="s">
        <v>12</v>
      </c>
      <c r="D74" s="3" t="s">
        <v>21</v>
      </c>
      <c r="E74" s="3" t="s">
        <v>79</v>
      </c>
      <c r="F74" s="3" t="s">
        <v>15</v>
      </c>
      <c r="G74" s="3">
        <v>20</v>
      </c>
      <c r="H74" s="3" t="s">
        <v>27</v>
      </c>
      <c r="I74" s="3" t="s">
        <v>39</v>
      </c>
      <c r="J74" s="14">
        <f>((($I$1*(0+192)%)+$I$1)+(($J$1*0%)+$J$1))*$K$1</f>
        <v>815107.20000000007</v>
      </c>
      <c r="K74" s="15">
        <f t="shared" si="1"/>
        <v>195625728.00000003</v>
      </c>
      <c r="L74" s="15">
        <f t="shared" si="5"/>
        <v>684690048.00000012</v>
      </c>
      <c r="M74" s="2" t="s">
        <v>80</v>
      </c>
      <c r="N74" s="3">
        <v>3.5</v>
      </c>
    </row>
    <row r="75" spans="1:14" s="16" customFormat="1" ht="36" customHeight="1" x14ac:dyDescent="0.25">
      <c r="A75" s="3">
        <v>13</v>
      </c>
      <c r="B75" s="3">
        <f>B74</f>
        <v>7073</v>
      </c>
      <c r="C75" s="4" t="s">
        <v>19</v>
      </c>
      <c r="D75" s="3" t="s">
        <v>20</v>
      </c>
      <c r="E75" s="3" t="s">
        <v>79</v>
      </c>
      <c r="F75" s="3" t="s">
        <v>15</v>
      </c>
      <c r="G75" s="3">
        <v>20</v>
      </c>
      <c r="H75" s="3" t="s">
        <v>27</v>
      </c>
      <c r="I75" s="3" t="s">
        <v>39</v>
      </c>
      <c r="J75" s="14">
        <f>((9.3*0%)+9.3)*$K$1</f>
        <v>160332</v>
      </c>
      <c r="K75" s="15">
        <f t="shared" si="1"/>
        <v>38479680</v>
      </c>
      <c r="L75" s="15">
        <f t="shared" si="5"/>
        <v>134678880</v>
      </c>
      <c r="M75" s="2" t="s">
        <v>80</v>
      </c>
      <c r="N75" s="3">
        <v>3.5</v>
      </c>
    </row>
    <row r="76" spans="1:14" s="16" customFormat="1" ht="40.5" customHeight="1" x14ac:dyDescent="0.25">
      <c r="A76" s="3">
        <v>13</v>
      </c>
      <c r="B76" s="3">
        <f>B74+1</f>
        <v>7074</v>
      </c>
      <c r="C76" s="4" t="s">
        <v>12</v>
      </c>
      <c r="D76" s="3" t="s">
        <v>21</v>
      </c>
      <c r="E76" s="3" t="s">
        <v>81</v>
      </c>
      <c r="F76" s="3" t="s">
        <v>15</v>
      </c>
      <c r="G76" s="3">
        <v>30</v>
      </c>
      <c r="H76" s="3" t="s">
        <v>27</v>
      </c>
      <c r="I76" s="3" t="s">
        <v>24</v>
      </c>
      <c r="J76" s="14">
        <f>((($I$1*(0+178)%)+$I$1)+(($J$1*0%)+$J$1))*$K$1</f>
        <v>793384.79999999993</v>
      </c>
      <c r="K76" s="15">
        <f t="shared" si="1"/>
        <v>285618527.99999994</v>
      </c>
      <c r="L76" s="15">
        <f t="shared" si="5"/>
        <v>714046319.99999988</v>
      </c>
      <c r="M76" s="2" t="s">
        <v>40</v>
      </c>
      <c r="N76" s="3">
        <v>2.5</v>
      </c>
    </row>
    <row r="77" spans="1:14" s="16" customFormat="1" ht="43.5" customHeight="1" x14ac:dyDescent="0.25">
      <c r="A77" s="3">
        <v>13</v>
      </c>
      <c r="B77" s="3">
        <f>B76</f>
        <v>7074</v>
      </c>
      <c r="C77" s="4" t="s">
        <v>19</v>
      </c>
      <c r="D77" s="3" t="s">
        <v>20</v>
      </c>
      <c r="E77" s="3" t="s">
        <v>81</v>
      </c>
      <c r="F77" s="3" t="s">
        <v>15</v>
      </c>
      <c r="G77" s="3">
        <v>30</v>
      </c>
      <c r="H77" s="3" t="s">
        <v>27</v>
      </c>
      <c r="I77" s="3" t="s">
        <v>24</v>
      </c>
      <c r="J77" s="14">
        <f>((9.3*0%)+9.3)*$K$1</f>
        <v>160332</v>
      </c>
      <c r="K77" s="15">
        <f t="shared" si="1"/>
        <v>57719520</v>
      </c>
      <c r="L77" s="15">
        <f t="shared" si="5"/>
        <v>144298800</v>
      </c>
      <c r="M77" s="2" t="s">
        <v>40</v>
      </c>
      <c r="N77" s="3">
        <v>2.5</v>
      </c>
    </row>
    <row r="78" spans="1:14" s="16" customFormat="1" ht="41.25" customHeight="1" x14ac:dyDescent="0.25">
      <c r="A78" s="3">
        <v>13</v>
      </c>
      <c r="B78" s="3">
        <f>B76+1</f>
        <v>7075</v>
      </c>
      <c r="C78" s="4" t="s">
        <v>12</v>
      </c>
      <c r="D78" s="3" t="s">
        <v>21</v>
      </c>
      <c r="E78" s="3" t="s">
        <v>82</v>
      </c>
      <c r="F78" s="3" t="s">
        <v>15</v>
      </c>
      <c r="G78" s="3">
        <v>20</v>
      </c>
      <c r="H78" s="3" t="s">
        <v>27</v>
      </c>
      <c r="I78" s="3" t="s">
        <v>39</v>
      </c>
      <c r="J78" s="14">
        <f>((($I$1*(0+192)%)+$I$1)+(($J$1*0%)+$J$1))*$K$1</f>
        <v>815107.20000000007</v>
      </c>
      <c r="K78" s="15">
        <f t="shared" si="1"/>
        <v>195625728.00000003</v>
      </c>
      <c r="L78" s="15">
        <f t="shared" si="5"/>
        <v>684690048.00000012</v>
      </c>
      <c r="M78" s="2" t="s">
        <v>80</v>
      </c>
      <c r="N78" s="3">
        <v>3.5</v>
      </c>
    </row>
    <row r="79" spans="1:14" s="16" customFormat="1" ht="39.75" customHeight="1" x14ac:dyDescent="0.25">
      <c r="A79" s="3">
        <v>13</v>
      </c>
      <c r="B79" s="3">
        <f>B78</f>
        <v>7075</v>
      </c>
      <c r="C79" s="4" t="s">
        <v>19</v>
      </c>
      <c r="D79" s="3" t="s">
        <v>20</v>
      </c>
      <c r="E79" s="3" t="s">
        <v>82</v>
      </c>
      <c r="F79" s="3" t="s">
        <v>15</v>
      </c>
      <c r="G79" s="3">
        <v>20</v>
      </c>
      <c r="H79" s="3" t="s">
        <v>27</v>
      </c>
      <c r="I79" s="3" t="s">
        <v>39</v>
      </c>
      <c r="J79" s="14">
        <f>((9.3*0%)+9.3)*$K$1</f>
        <v>160332</v>
      </c>
      <c r="K79" s="15">
        <f t="shared" si="1"/>
        <v>38479680</v>
      </c>
      <c r="L79" s="15">
        <f t="shared" si="5"/>
        <v>134678880</v>
      </c>
      <c r="M79" s="2" t="s">
        <v>80</v>
      </c>
      <c r="N79" s="3">
        <v>3.5</v>
      </c>
    </row>
    <row r="80" spans="1:14" s="16" customFormat="1" ht="32.25" customHeight="1" x14ac:dyDescent="0.25">
      <c r="A80" s="3">
        <v>13</v>
      </c>
      <c r="B80" s="3">
        <f>B78+1</f>
        <v>7076</v>
      </c>
      <c r="C80" s="4" t="s">
        <v>12</v>
      </c>
      <c r="D80" s="3" t="s">
        <v>21</v>
      </c>
      <c r="E80" s="3" t="s">
        <v>83</v>
      </c>
      <c r="F80" s="3" t="s">
        <v>15</v>
      </c>
      <c r="G80" s="3">
        <v>20</v>
      </c>
      <c r="H80" s="3" t="s">
        <v>33</v>
      </c>
      <c r="I80" s="3" t="s">
        <v>17</v>
      </c>
      <c r="J80" s="14">
        <f>((($I$1*(0+192)%)+$I$1)+(($J$1*0%)+$J$1))*$K$1</f>
        <v>815107.20000000007</v>
      </c>
      <c r="K80" s="15">
        <f t="shared" si="1"/>
        <v>195625728.00000003</v>
      </c>
      <c r="L80" s="15">
        <f t="shared" si="5"/>
        <v>684690048.00000012</v>
      </c>
      <c r="M80" s="2" t="s">
        <v>80</v>
      </c>
      <c r="N80" s="3">
        <v>3.5</v>
      </c>
    </row>
    <row r="81" spans="1:14" s="16" customFormat="1" ht="34.5" customHeight="1" x14ac:dyDescent="0.25">
      <c r="A81" s="3">
        <v>13</v>
      </c>
      <c r="B81" s="3">
        <f>B80</f>
        <v>7076</v>
      </c>
      <c r="C81" s="4" t="s">
        <v>19</v>
      </c>
      <c r="D81" s="3" t="s">
        <v>20</v>
      </c>
      <c r="E81" s="3" t="s">
        <v>83</v>
      </c>
      <c r="F81" s="3" t="s">
        <v>15</v>
      </c>
      <c r="G81" s="3">
        <v>20</v>
      </c>
      <c r="H81" s="3" t="s">
        <v>33</v>
      </c>
      <c r="I81" s="3" t="s">
        <v>17</v>
      </c>
      <c r="J81" s="14">
        <f>((9.3*0%)+9.3)*$K$1</f>
        <v>160332</v>
      </c>
      <c r="K81" s="15">
        <f t="shared" si="1"/>
        <v>38479680</v>
      </c>
      <c r="L81" s="15">
        <f t="shared" si="5"/>
        <v>134678880</v>
      </c>
      <c r="M81" s="2" t="s">
        <v>80</v>
      </c>
      <c r="N81" s="3">
        <v>3.5</v>
      </c>
    </row>
    <row r="82" spans="1:14" s="16" customFormat="1" ht="30.75" customHeight="1" x14ac:dyDescent="0.25">
      <c r="A82" s="3">
        <v>13</v>
      </c>
      <c r="B82" s="3">
        <f>B80+1</f>
        <v>7077</v>
      </c>
      <c r="C82" s="4" t="s">
        <v>12</v>
      </c>
      <c r="D82" s="3" t="s">
        <v>65</v>
      </c>
      <c r="E82" s="3" t="s">
        <v>82</v>
      </c>
      <c r="F82" s="3" t="s">
        <v>15</v>
      </c>
      <c r="G82" s="3">
        <v>15</v>
      </c>
      <c r="H82" s="3" t="s">
        <v>84</v>
      </c>
      <c r="I82" s="3" t="s">
        <v>24</v>
      </c>
      <c r="J82" s="14">
        <f>((($I$1*(0+192)%)+$I$1)+(($J$1*(0+42.5)%)+$J$1))*$K$1</f>
        <v>968974.2</v>
      </c>
      <c r="K82" s="15">
        <f t="shared" si="1"/>
        <v>174415356</v>
      </c>
      <c r="L82" s="15">
        <f t="shared" si="5"/>
        <v>697661424</v>
      </c>
      <c r="M82" s="2" t="s">
        <v>34</v>
      </c>
      <c r="N82" s="3">
        <v>4</v>
      </c>
    </row>
    <row r="83" spans="1:14" s="16" customFormat="1" ht="30" customHeight="1" x14ac:dyDescent="0.25">
      <c r="A83" s="3">
        <v>13</v>
      </c>
      <c r="B83" s="3">
        <f>B82</f>
        <v>7077</v>
      </c>
      <c r="C83" s="4" t="s">
        <v>19</v>
      </c>
      <c r="D83" s="3" t="s">
        <v>67</v>
      </c>
      <c r="E83" s="3" t="s">
        <v>82</v>
      </c>
      <c r="F83" s="3" t="s">
        <v>15</v>
      </c>
      <c r="G83" s="3">
        <v>15</v>
      </c>
      <c r="H83" s="3" t="s">
        <v>84</v>
      </c>
      <c r="I83" s="3" t="s">
        <v>24</v>
      </c>
      <c r="J83" s="14">
        <f>((9.3*0%)+9.3)*$K$1</f>
        <v>160332</v>
      </c>
      <c r="K83" s="15">
        <f t="shared" si="1"/>
        <v>28859760</v>
      </c>
      <c r="L83" s="15">
        <f t="shared" si="5"/>
        <v>115439040</v>
      </c>
      <c r="M83" s="2" t="s">
        <v>34</v>
      </c>
      <c r="N83" s="3">
        <v>4</v>
      </c>
    </row>
    <row r="84" spans="1:14" s="16" customFormat="1" ht="33.75" customHeight="1" x14ac:dyDescent="0.25">
      <c r="A84" s="3">
        <v>13</v>
      </c>
      <c r="B84" s="3">
        <f>B82</f>
        <v>7077</v>
      </c>
      <c r="C84" s="4" t="s">
        <v>19</v>
      </c>
      <c r="D84" s="3" t="s">
        <v>68</v>
      </c>
      <c r="E84" s="3" t="s">
        <v>82</v>
      </c>
      <c r="F84" s="3" t="s">
        <v>15</v>
      </c>
      <c r="G84" s="3">
        <v>15</v>
      </c>
      <c r="H84" s="3" t="s">
        <v>84</v>
      </c>
      <c r="I84" s="3" t="s">
        <v>24</v>
      </c>
      <c r="J84" s="14">
        <f>((9.3*0%)+9.3)*$K$1</f>
        <v>160332</v>
      </c>
      <c r="K84" s="15">
        <f t="shared" si="1"/>
        <v>28859760</v>
      </c>
      <c r="L84" s="15">
        <f t="shared" si="5"/>
        <v>115439040</v>
      </c>
      <c r="M84" s="2" t="s">
        <v>34</v>
      </c>
      <c r="N84" s="3">
        <v>4</v>
      </c>
    </row>
    <row r="85" spans="1:14" s="16" customFormat="1" ht="27.75" customHeight="1" x14ac:dyDescent="0.25">
      <c r="A85" s="3">
        <v>13</v>
      </c>
      <c r="B85" s="3">
        <f>B82+1</f>
        <v>7078</v>
      </c>
      <c r="C85" s="4" t="s">
        <v>12</v>
      </c>
      <c r="D85" s="3" t="s">
        <v>21</v>
      </c>
      <c r="E85" s="3" t="s">
        <v>85</v>
      </c>
      <c r="F85" s="3" t="s">
        <v>15</v>
      </c>
      <c r="G85" s="3">
        <v>12</v>
      </c>
      <c r="H85" s="3" t="s">
        <v>33</v>
      </c>
      <c r="I85" s="3" t="s">
        <v>39</v>
      </c>
      <c r="J85" s="14">
        <f>((($I$1*(0+192)%)+$I$1)+(($J$1*0%)+$J$1))*$K$1</f>
        <v>815107.20000000007</v>
      </c>
      <c r="K85" s="15">
        <f t="shared" si="1"/>
        <v>117375436.80000001</v>
      </c>
      <c r="L85" s="15">
        <f t="shared" si="5"/>
        <v>586877184</v>
      </c>
      <c r="M85" s="2" t="s">
        <v>86</v>
      </c>
      <c r="N85" s="3">
        <v>5</v>
      </c>
    </row>
    <row r="86" spans="1:14" s="16" customFormat="1" ht="24.75" customHeight="1" x14ac:dyDescent="0.25">
      <c r="A86" s="3">
        <v>13</v>
      </c>
      <c r="B86" s="3">
        <f>B85</f>
        <v>7078</v>
      </c>
      <c r="C86" s="4" t="s">
        <v>19</v>
      </c>
      <c r="D86" s="3" t="s">
        <v>20</v>
      </c>
      <c r="E86" s="3" t="s">
        <v>85</v>
      </c>
      <c r="F86" s="3" t="s">
        <v>15</v>
      </c>
      <c r="G86" s="3">
        <v>12</v>
      </c>
      <c r="H86" s="3" t="s">
        <v>33</v>
      </c>
      <c r="I86" s="3" t="s">
        <v>39</v>
      </c>
      <c r="J86" s="14">
        <f>((9.3*0%)+9.3)*$K$1</f>
        <v>160332</v>
      </c>
      <c r="K86" s="15">
        <f t="shared" si="1"/>
        <v>23087808</v>
      </c>
      <c r="L86" s="15">
        <f t="shared" si="5"/>
        <v>115439040</v>
      </c>
      <c r="M86" s="2" t="s">
        <v>86</v>
      </c>
      <c r="N86" s="3">
        <v>5</v>
      </c>
    </row>
    <row r="87" spans="1:14" s="16" customFormat="1" ht="30" customHeight="1" x14ac:dyDescent="0.25">
      <c r="A87" s="3">
        <v>14</v>
      </c>
      <c r="B87" s="3">
        <f>B85+1</f>
        <v>7079</v>
      </c>
      <c r="C87" s="4" t="s">
        <v>12</v>
      </c>
      <c r="D87" s="3" t="s">
        <v>87</v>
      </c>
      <c r="E87" s="3" t="s">
        <v>88</v>
      </c>
      <c r="F87" s="3" t="s">
        <v>15</v>
      </c>
      <c r="G87" s="3">
        <v>20</v>
      </c>
      <c r="H87" s="3" t="s">
        <v>89</v>
      </c>
      <c r="I87" s="3" t="s">
        <v>17</v>
      </c>
      <c r="J87" s="14">
        <f>((($I$1*(14+192)%)+$I$1)+(($J$1*14%)+$J$1))*$K$1</f>
        <v>887515.20000000007</v>
      </c>
      <c r="K87" s="15">
        <f t="shared" si="1"/>
        <v>213003648</v>
      </c>
      <c r="L87" s="15">
        <f t="shared" si="5"/>
        <v>319505472</v>
      </c>
      <c r="M87" s="2" t="s">
        <v>25</v>
      </c>
      <c r="N87" s="3">
        <v>1.5</v>
      </c>
    </row>
    <row r="88" spans="1:14" s="16" customFormat="1" ht="33" customHeight="1" x14ac:dyDescent="0.25">
      <c r="A88" s="3">
        <v>14</v>
      </c>
      <c r="B88" s="3">
        <f>B87</f>
        <v>7079</v>
      </c>
      <c r="C88" s="4" t="s">
        <v>19</v>
      </c>
      <c r="D88" s="3" t="s">
        <v>20</v>
      </c>
      <c r="E88" s="3" t="s">
        <v>88</v>
      </c>
      <c r="F88" s="3" t="s">
        <v>15</v>
      </c>
      <c r="G88" s="3">
        <v>20</v>
      </c>
      <c r="H88" s="3" t="s">
        <v>89</v>
      </c>
      <c r="I88" s="3" t="s">
        <v>17</v>
      </c>
      <c r="J88" s="14">
        <f>((9.3*14%)+9.3)*$K$1</f>
        <v>182778.48</v>
      </c>
      <c r="K88" s="15">
        <f t="shared" ref="K88:K103" si="6">J88*G88*12</f>
        <v>43866835.200000003</v>
      </c>
      <c r="L88" s="15">
        <f t="shared" si="5"/>
        <v>65800252.800000004</v>
      </c>
      <c r="M88" s="2" t="s">
        <v>25</v>
      </c>
      <c r="N88" s="3">
        <v>1.5</v>
      </c>
    </row>
    <row r="89" spans="1:14" s="16" customFormat="1" ht="33" customHeight="1" x14ac:dyDescent="0.25">
      <c r="A89" s="3">
        <v>14</v>
      </c>
      <c r="B89" s="3">
        <f>B87+1</f>
        <v>7080</v>
      </c>
      <c r="C89" s="4" t="s">
        <v>12</v>
      </c>
      <c r="D89" s="3" t="s">
        <v>21</v>
      </c>
      <c r="E89" s="3" t="s">
        <v>90</v>
      </c>
      <c r="F89" s="3" t="s">
        <v>15</v>
      </c>
      <c r="G89" s="3">
        <v>14</v>
      </c>
      <c r="H89" s="3" t="s">
        <v>38</v>
      </c>
      <c r="I89" s="3" t="s">
        <v>17</v>
      </c>
      <c r="J89" s="14">
        <f>((($I$1*(14+192)%)+$I$1)+(($J$1*14%)+$J$1))*$K$1</f>
        <v>887515.20000000007</v>
      </c>
      <c r="K89" s="15">
        <f t="shared" si="6"/>
        <v>149102553.60000002</v>
      </c>
      <c r="L89" s="15">
        <f t="shared" si="5"/>
        <v>372756384.00000006</v>
      </c>
      <c r="M89" s="2" t="s">
        <v>40</v>
      </c>
      <c r="N89" s="3">
        <v>2.5</v>
      </c>
    </row>
    <row r="90" spans="1:14" s="16" customFormat="1" ht="32.25" customHeight="1" x14ac:dyDescent="0.25">
      <c r="A90" s="3">
        <v>14</v>
      </c>
      <c r="B90" s="3">
        <f>B89</f>
        <v>7080</v>
      </c>
      <c r="C90" s="4" t="s">
        <v>19</v>
      </c>
      <c r="D90" s="3" t="s">
        <v>20</v>
      </c>
      <c r="E90" s="3" t="s">
        <v>90</v>
      </c>
      <c r="F90" s="3" t="s">
        <v>15</v>
      </c>
      <c r="G90" s="3">
        <v>14</v>
      </c>
      <c r="H90" s="3" t="s">
        <v>38</v>
      </c>
      <c r="I90" s="3" t="s">
        <v>17</v>
      </c>
      <c r="J90" s="14">
        <f>((9.3*14%)+9.3)*$K$1</f>
        <v>182778.48</v>
      </c>
      <c r="K90" s="15">
        <f t="shared" si="6"/>
        <v>30706784.640000001</v>
      </c>
      <c r="L90" s="15">
        <f t="shared" si="5"/>
        <v>76766961.599999994</v>
      </c>
      <c r="M90" s="2" t="s">
        <v>40</v>
      </c>
      <c r="N90" s="3">
        <v>2.5</v>
      </c>
    </row>
    <row r="91" spans="1:14" s="16" customFormat="1" ht="39.75" customHeight="1" x14ac:dyDescent="0.25">
      <c r="A91" s="3">
        <v>16</v>
      </c>
      <c r="B91" s="3">
        <f>B89+1</f>
        <v>7081</v>
      </c>
      <c r="C91" s="4" t="s">
        <v>12</v>
      </c>
      <c r="D91" s="3" t="s">
        <v>13</v>
      </c>
      <c r="E91" s="3" t="s">
        <v>91</v>
      </c>
      <c r="F91" s="3" t="s">
        <v>15</v>
      </c>
      <c r="G91" s="3">
        <v>20</v>
      </c>
      <c r="H91" s="3" t="s">
        <v>16</v>
      </c>
      <c r="I91" s="3" t="s">
        <v>17</v>
      </c>
      <c r="J91" s="14">
        <f>((($I$1*(14+192)%)+$I$1)+(($J$1*(14+90)%)+$J$1))*$K$1</f>
        <v>1213351.2</v>
      </c>
      <c r="K91" s="15">
        <f>J91*G91*12</f>
        <v>291204288</v>
      </c>
      <c r="L91" s="15">
        <f t="shared" si="5"/>
        <v>291204288</v>
      </c>
      <c r="M91" s="2" t="s">
        <v>18</v>
      </c>
      <c r="N91" s="3">
        <v>1</v>
      </c>
    </row>
    <row r="92" spans="1:14" s="16" customFormat="1" ht="34.5" customHeight="1" x14ac:dyDescent="0.25">
      <c r="A92" s="3">
        <v>16</v>
      </c>
      <c r="B92" s="3">
        <f>B91</f>
        <v>7081</v>
      </c>
      <c r="C92" s="4" t="s">
        <v>19</v>
      </c>
      <c r="D92" s="3" t="s">
        <v>20</v>
      </c>
      <c r="E92" s="3" t="s">
        <v>91</v>
      </c>
      <c r="F92" s="3" t="s">
        <v>15</v>
      </c>
      <c r="G92" s="3">
        <v>20</v>
      </c>
      <c r="H92" s="3" t="s">
        <v>16</v>
      </c>
      <c r="I92" s="3" t="s">
        <v>17</v>
      </c>
      <c r="J92" s="14">
        <f>((9.3*14%)+9.3)*$K$1</f>
        <v>182778.48</v>
      </c>
      <c r="K92" s="15">
        <f t="shared" si="6"/>
        <v>43866835.200000003</v>
      </c>
      <c r="L92" s="15">
        <f t="shared" si="5"/>
        <v>43866835.200000003</v>
      </c>
      <c r="M92" s="2" t="s">
        <v>18</v>
      </c>
      <c r="N92" s="3">
        <v>1</v>
      </c>
    </row>
    <row r="93" spans="1:14" s="16" customFormat="1" ht="37.5" customHeight="1" x14ac:dyDescent="0.25">
      <c r="A93" s="3">
        <v>16</v>
      </c>
      <c r="B93" s="3">
        <f>B91+1</f>
        <v>7082</v>
      </c>
      <c r="C93" s="4" t="s">
        <v>12</v>
      </c>
      <c r="D93" s="3" t="s">
        <v>13</v>
      </c>
      <c r="E93" s="3" t="s">
        <v>91</v>
      </c>
      <c r="F93" s="3" t="s">
        <v>15</v>
      </c>
      <c r="G93" s="3">
        <v>20</v>
      </c>
      <c r="H93" s="3" t="s">
        <v>16</v>
      </c>
      <c r="I93" s="3" t="s">
        <v>17</v>
      </c>
      <c r="J93" s="14">
        <f>((($I$1*(14+192)%)+$I$1)+(($J$1*(14+90)%)+$J$1))*$K$1</f>
        <v>1213351.2</v>
      </c>
      <c r="K93" s="15">
        <f>J93*G93*12</f>
        <v>291204288</v>
      </c>
      <c r="L93" s="15">
        <f t="shared" si="5"/>
        <v>291204288</v>
      </c>
      <c r="M93" s="2" t="s">
        <v>18</v>
      </c>
      <c r="N93" s="3">
        <v>1</v>
      </c>
    </row>
    <row r="94" spans="1:14" s="16" customFormat="1" ht="36" customHeight="1" x14ac:dyDescent="0.25">
      <c r="A94" s="3">
        <v>16</v>
      </c>
      <c r="B94" s="3">
        <f>B93</f>
        <v>7082</v>
      </c>
      <c r="C94" s="4" t="s">
        <v>19</v>
      </c>
      <c r="D94" s="3" t="s">
        <v>20</v>
      </c>
      <c r="E94" s="3" t="s">
        <v>91</v>
      </c>
      <c r="F94" s="3" t="s">
        <v>15</v>
      </c>
      <c r="G94" s="3">
        <v>20</v>
      </c>
      <c r="H94" s="3" t="s">
        <v>16</v>
      </c>
      <c r="I94" s="3" t="s">
        <v>17</v>
      </c>
      <c r="J94" s="14">
        <f>((9.3*14%)+9.3)*$K$1</f>
        <v>182778.48</v>
      </c>
      <c r="K94" s="15">
        <f t="shared" ref="K94" si="7">J94*G94*12</f>
        <v>43866835.200000003</v>
      </c>
      <c r="L94" s="15">
        <f t="shared" si="5"/>
        <v>43866835.200000003</v>
      </c>
      <c r="M94" s="2" t="s">
        <v>18</v>
      </c>
      <c r="N94" s="3">
        <v>1</v>
      </c>
    </row>
    <row r="95" spans="1:14" s="16" customFormat="1" ht="33" customHeight="1" x14ac:dyDescent="0.25">
      <c r="A95" s="3">
        <v>16</v>
      </c>
      <c r="B95" s="3">
        <f>B93+1</f>
        <v>7083</v>
      </c>
      <c r="C95" s="4" t="s">
        <v>12</v>
      </c>
      <c r="D95" s="3" t="s">
        <v>21</v>
      </c>
      <c r="E95" s="3" t="s">
        <v>91</v>
      </c>
      <c r="F95" s="3" t="s">
        <v>15</v>
      </c>
      <c r="G95" s="3">
        <v>20</v>
      </c>
      <c r="H95" s="3" t="s">
        <v>27</v>
      </c>
      <c r="I95" s="3" t="s">
        <v>17</v>
      </c>
      <c r="J95" s="14">
        <f>((($I$1*(14+192)%)+$I$1)+(($J$1*14%)+$J$1))*$K$1</f>
        <v>887515.20000000007</v>
      </c>
      <c r="K95" s="15">
        <f t="shared" si="6"/>
        <v>213003648</v>
      </c>
      <c r="L95" s="15">
        <f t="shared" si="5"/>
        <v>319505472</v>
      </c>
      <c r="M95" s="2" t="s">
        <v>25</v>
      </c>
      <c r="N95" s="3">
        <v>1.5</v>
      </c>
    </row>
    <row r="96" spans="1:14" s="16" customFormat="1" ht="33" customHeight="1" x14ac:dyDescent="0.25">
      <c r="A96" s="3">
        <v>16</v>
      </c>
      <c r="B96" s="3">
        <f>B95</f>
        <v>7083</v>
      </c>
      <c r="C96" s="4" t="s">
        <v>19</v>
      </c>
      <c r="D96" s="3" t="s">
        <v>20</v>
      </c>
      <c r="E96" s="3" t="s">
        <v>91</v>
      </c>
      <c r="F96" s="3" t="s">
        <v>15</v>
      </c>
      <c r="G96" s="3">
        <v>20</v>
      </c>
      <c r="H96" s="3" t="s">
        <v>27</v>
      </c>
      <c r="I96" s="3" t="s">
        <v>17</v>
      </c>
      <c r="J96" s="14">
        <f>((9.3*14%)+9.3)*$K$1</f>
        <v>182778.48</v>
      </c>
      <c r="K96" s="15">
        <f t="shared" si="6"/>
        <v>43866835.200000003</v>
      </c>
      <c r="L96" s="15">
        <f t="shared" si="5"/>
        <v>65800252.800000004</v>
      </c>
      <c r="M96" s="2" t="s">
        <v>25</v>
      </c>
      <c r="N96" s="3">
        <v>1.5</v>
      </c>
    </row>
    <row r="97" spans="1:14" s="16" customFormat="1" ht="32.25" customHeight="1" x14ac:dyDescent="0.25">
      <c r="A97" s="3">
        <v>16</v>
      </c>
      <c r="B97" s="3">
        <f>B95+1</f>
        <v>7084</v>
      </c>
      <c r="C97" s="4" t="s">
        <v>12</v>
      </c>
      <c r="D97" s="3" t="s">
        <v>21</v>
      </c>
      <c r="E97" s="3" t="s">
        <v>92</v>
      </c>
      <c r="F97" s="3" t="s">
        <v>15</v>
      </c>
      <c r="G97" s="3">
        <v>20</v>
      </c>
      <c r="H97" s="3" t="s">
        <v>27</v>
      </c>
      <c r="I97" s="3" t="s">
        <v>17</v>
      </c>
      <c r="J97" s="14">
        <f>((($I$1*(14+192)%)+$I$1)+(($J$1*14%)+$J$1))*$K$1</f>
        <v>887515.20000000007</v>
      </c>
      <c r="K97" s="15">
        <f t="shared" si="6"/>
        <v>213003648</v>
      </c>
      <c r="L97" s="15">
        <f t="shared" si="5"/>
        <v>319505472</v>
      </c>
      <c r="M97" s="2" t="s">
        <v>25</v>
      </c>
      <c r="N97" s="3">
        <v>1.5</v>
      </c>
    </row>
    <row r="98" spans="1:14" s="16" customFormat="1" ht="30.75" customHeight="1" x14ac:dyDescent="0.25">
      <c r="A98" s="3">
        <v>16</v>
      </c>
      <c r="B98" s="3">
        <f>B97</f>
        <v>7084</v>
      </c>
      <c r="C98" s="4" t="s">
        <v>19</v>
      </c>
      <c r="D98" s="3" t="s">
        <v>20</v>
      </c>
      <c r="E98" s="3" t="s">
        <v>92</v>
      </c>
      <c r="F98" s="3" t="s">
        <v>15</v>
      </c>
      <c r="G98" s="3">
        <v>20</v>
      </c>
      <c r="H98" s="3" t="s">
        <v>27</v>
      </c>
      <c r="I98" s="3" t="s">
        <v>17</v>
      </c>
      <c r="J98" s="14">
        <f>((9.3*14%)+9.3)*$K$1</f>
        <v>182778.48</v>
      </c>
      <c r="K98" s="15">
        <f t="shared" si="6"/>
        <v>43866835.200000003</v>
      </c>
      <c r="L98" s="15">
        <f t="shared" si="5"/>
        <v>65800252.800000004</v>
      </c>
      <c r="M98" s="2" t="s">
        <v>25</v>
      </c>
      <c r="N98" s="3">
        <v>1.5</v>
      </c>
    </row>
    <row r="99" spans="1:14" s="16" customFormat="1" ht="39.75" customHeight="1" x14ac:dyDescent="0.25">
      <c r="A99" s="3">
        <v>16</v>
      </c>
      <c r="B99" s="3">
        <f>B97+1</f>
        <v>7085</v>
      </c>
      <c r="C99" s="4" t="s">
        <v>12</v>
      </c>
      <c r="D99" s="3" t="s">
        <v>21</v>
      </c>
      <c r="E99" s="3" t="s">
        <v>93</v>
      </c>
      <c r="F99" s="3" t="s">
        <v>15</v>
      </c>
      <c r="G99" s="3">
        <v>15</v>
      </c>
      <c r="H99" s="3" t="s">
        <v>27</v>
      </c>
      <c r="I99" s="3" t="s">
        <v>17</v>
      </c>
      <c r="J99" s="14">
        <f>((($I$1*(14+192)%)+$I$1)+(($J$1*14%)+$J$1))*$K$1</f>
        <v>887515.20000000007</v>
      </c>
      <c r="K99" s="15">
        <f t="shared" si="6"/>
        <v>159752736.00000003</v>
      </c>
      <c r="L99" s="15">
        <f t="shared" si="5"/>
        <v>399381840.00000006</v>
      </c>
      <c r="M99" s="2" t="s">
        <v>40</v>
      </c>
      <c r="N99" s="3">
        <v>2.5</v>
      </c>
    </row>
    <row r="100" spans="1:14" s="16" customFormat="1" ht="30" customHeight="1" x14ac:dyDescent="0.25">
      <c r="A100" s="3">
        <v>16</v>
      </c>
      <c r="B100" s="3">
        <f>B99</f>
        <v>7085</v>
      </c>
      <c r="C100" s="4" t="s">
        <v>19</v>
      </c>
      <c r="D100" s="3" t="s">
        <v>20</v>
      </c>
      <c r="E100" s="3" t="s">
        <v>93</v>
      </c>
      <c r="F100" s="3" t="s">
        <v>15</v>
      </c>
      <c r="G100" s="3">
        <v>15</v>
      </c>
      <c r="H100" s="3" t="s">
        <v>27</v>
      </c>
      <c r="I100" s="3" t="s">
        <v>17</v>
      </c>
      <c r="J100" s="14">
        <f>((9.3*14%)+9.3)*$K$1</f>
        <v>182778.48</v>
      </c>
      <c r="K100" s="15">
        <f t="shared" si="6"/>
        <v>32900126.400000002</v>
      </c>
      <c r="L100" s="15">
        <f t="shared" si="5"/>
        <v>82250316</v>
      </c>
      <c r="M100" s="2" t="s">
        <v>40</v>
      </c>
      <c r="N100" s="3">
        <v>2.5</v>
      </c>
    </row>
    <row r="101" spans="1:14" s="16" customFormat="1" ht="30" customHeight="1" x14ac:dyDescent="0.25">
      <c r="A101" s="3">
        <v>16</v>
      </c>
      <c r="B101" s="3">
        <v>7100</v>
      </c>
      <c r="C101" s="4" t="s">
        <v>12</v>
      </c>
      <c r="D101" s="3" t="s">
        <v>65</v>
      </c>
      <c r="E101" s="3" t="s">
        <v>91</v>
      </c>
      <c r="F101" s="3" t="s">
        <v>15</v>
      </c>
      <c r="G101" s="3">
        <v>20</v>
      </c>
      <c r="H101" s="3" t="s">
        <v>94</v>
      </c>
      <c r="I101" s="3" t="s">
        <v>17</v>
      </c>
      <c r="J101" s="14">
        <f>((($I$1*(14+192)%)+$I$1)+(($J$1*(14+42.5)%)+$J$1))*$K$1</f>
        <v>1041382.2</v>
      </c>
      <c r="K101" s="15">
        <f t="shared" si="6"/>
        <v>249931728</v>
      </c>
      <c r="L101" s="15">
        <f t="shared" si="5"/>
        <v>374897592</v>
      </c>
      <c r="M101" s="2" t="s">
        <v>25</v>
      </c>
      <c r="N101" s="3">
        <v>1.5</v>
      </c>
    </row>
    <row r="102" spans="1:14" s="16" customFormat="1" ht="32.25" customHeight="1" x14ac:dyDescent="0.25">
      <c r="A102" s="3">
        <v>16</v>
      </c>
      <c r="B102" s="3">
        <v>7100</v>
      </c>
      <c r="C102" s="4" t="s">
        <v>19</v>
      </c>
      <c r="D102" s="3" t="s">
        <v>67</v>
      </c>
      <c r="E102" s="3" t="s">
        <v>91</v>
      </c>
      <c r="F102" s="3" t="s">
        <v>15</v>
      </c>
      <c r="G102" s="3">
        <v>20</v>
      </c>
      <c r="H102" s="3" t="s">
        <v>94</v>
      </c>
      <c r="I102" s="3" t="s">
        <v>17</v>
      </c>
      <c r="J102" s="14">
        <f>((9.3*14%)+9.3)*$K$1</f>
        <v>182778.48</v>
      </c>
      <c r="K102" s="15">
        <f t="shared" si="6"/>
        <v>43866835.200000003</v>
      </c>
      <c r="L102" s="15">
        <f t="shared" si="5"/>
        <v>65800252.800000004</v>
      </c>
      <c r="M102" s="2" t="s">
        <v>25</v>
      </c>
      <c r="N102" s="3">
        <v>1.5</v>
      </c>
    </row>
    <row r="103" spans="1:14" s="16" customFormat="1" ht="28.5" customHeight="1" x14ac:dyDescent="0.25">
      <c r="A103" s="3">
        <v>16</v>
      </c>
      <c r="B103" s="3">
        <f>B101</f>
        <v>7100</v>
      </c>
      <c r="C103" s="4" t="s">
        <v>19</v>
      </c>
      <c r="D103" s="3" t="s">
        <v>95</v>
      </c>
      <c r="E103" s="3" t="s">
        <v>91</v>
      </c>
      <c r="F103" s="3" t="s">
        <v>15</v>
      </c>
      <c r="G103" s="3">
        <v>20</v>
      </c>
      <c r="H103" s="3" t="s">
        <v>94</v>
      </c>
      <c r="I103" s="3" t="s">
        <v>17</v>
      </c>
      <c r="J103" s="14">
        <f>((9.3*14%)+9.3)*$K$1</f>
        <v>182778.48</v>
      </c>
      <c r="K103" s="15">
        <f t="shared" si="6"/>
        <v>43866835.200000003</v>
      </c>
      <c r="L103" s="15">
        <f t="shared" si="5"/>
        <v>65800252.800000004</v>
      </c>
      <c r="M103" s="2" t="s">
        <v>25</v>
      </c>
      <c r="N103" s="3">
        <v>1.5</v>
      </c>
    </row>
    <row r="104" spans="1:14" ht="27.75" customHeight="1" x14ac:dyDescent="0.25"/>
    <row r="105" spans="1:14" s="25" customFormat="1" ht="27.75" customHeight="1" x14ac:dyDescent="0.25">
      <c r="A105" s="22"/>
      <c r="B105" s="27" t="s">
        <v>96</v>
      </c>
      <c r="C105" s="37" t="s">
        <v>97</v>
      </c>
      <c r="D105" s="37"/>
      <c r="E105" s="37"/>
      <c r="F105" s="37"/>
      <c r="G105" s="37"/>
      <c r="H105" s="37"/>
      <c r="I105" s="21"/>
      <c r="J105" s="23"/>
      <c r="K105" s="23"/>
      <c r="L105" s="23"/>
      <c r="M105" s="24"/>
      <c r="N105" s="24"/>
    </row>
  </sheetData>
  <autoFilter ref="A3:N103" xr:uid="{00000000-0009-0000-0000-000000000000}"/>
  <mergeCells count="1">
    <mergeCell ref="C105:H105"/>
  </mergeCells>
  <phoneticPr fontId="5" type="noConversion"/>
  <pageMargins left="0.23622047244094491" right="0.23622047244094491" top="0.74803149606299213" bottom="0.74803149606299213" header="0.31496062992125984" footer="0.31496062992125984"/>
  <pageSetup scale="85" orientation="landscape" r:id="rId1"/>
  <headerFoot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baseColWidth="10" defaultColWidth="11.42578125" defaultRowHeight="18.75" customHeight="1" x14ac:dyDescent="0.25"/>
  <cols>
    <col min="1" max="1" width="21.85546875" style="18" customWidth="1"/>
    <col min="2" max="2" width="20" style="6" customWidth="1"/>
    <col min="3" max="3" width="23.28515625" style="6" customWidth="1"/>
    <col min="4" max="4" width="16" style="6" customWidth="1"/>
    <col min="5" max="5" width="29.85546875" style="6" bestFit="1" customWidth="1"/>
    <col min="6" max="6" width="33.7109375" style="6" customWidth="1"/>
    <col min="7" max="7" width="28.7109375" style="6" customWidth="1"/>
    <col min="8" max="8" width="28" style="6" customWidth="1"/>
    <col min="9" max="9" width="22.5703125" style="6" customWidth="1"/>
    <col min="10" max="10" width="21.85546875" style="6" customWidth="1"/>
    <col min="11" max="11" width="12.42578125" style="6" customWidth="1"/>
    <col min="12" max="13" width="29.5703125" style="6" customWidth="1"/>
    <col min="14" max="14" width="19.5703125" style="6" customWidth="1"/>
    <col min="15" max="15" width="21.85546875" style="6" customWidth="1"/>
    <col min="16" max="16" width="22.85546875" style="6" customWidth="1"/>
    <col min="17" max="17" width="17.42578125" style="8" customWidth="1"/>
    <col min="18" max="18" width="24.85546875" style="6" customWidth="1"/>
    <col min="19" max="19" width="21.85546875" style="5" customWidth="1"/>
    <col min="20" max="20" width="21" style="6" customWidth="1"/>
    <col min="21" max="16384" width="11.42578125" style="6"/>
  </cols>
  <sheetData>
    <row r="1" spans="1:22" ht="30.95" customHeight="1" x14ac:dyDescent="0.25">
      <c r="A1" s="38" t="s">
        <v>98</v>
      </c>
      <c r="B1" s="39"/>
      <c r="C1" s="4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20"/>
      <c r="U1" s="7"/>
      <c r="V1" s="7"/>
    </row>
    <row r="2" spans="1:22" ht="54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99</v>
      </c>
      <c r="G2" s="28" t="s">
        <v>100</v>
      </c>
      <c r="H2" s="28" t="s">
        <v>101</v>
      </c>
      <c r="I2" s="28" t="s">
        <v>102</v>
      </c>
      <c r="J2" s="28" t="s">
        <v>6</v>
      </c>
      <c r="K2" s="28" t="s">
        <v>7</v>
      </c>
      <c r="L2" s="28" t="s">
        <v>103</v>
      </c>
      <c r="M2" s="28" t="s">
        <v>104</v>
      </c>
      <c r="N2" s="28" t="s">
        <v>105</v>
      </c>
      <c r="O2" s="28" t="s">
        <v>106</v>
      </c>
      <c r="P2" s="28" t="s">
        <v>107</v>
      </c>
      <c r="Q2" s="28" t="s">
        <v>108</v>
      </c>
      <c r="R2" s="28" t="s">
        <v>10</v>
      </c>
      <c r="S2" s="28" t="s">
        <v>11</v>
      </c>
      <c r="T2" s="28" t="s">
        <v>11</v>
      </c>
      <c r="U2" s="7"/>
      <c r="V2" s="7"/>
    </row>
    <row r="3" spans="1:22" s="8" customFormat="1" ht="41.25" customHeight="1" x14ac:dyDescent="0.25">
      <c r="A3" s="29">
        <v>3</v>
      </c>
      <c r="B3" s="30">
        <v>7086</v>
      </c>
      <c r="C3" s="30" t="s">
        <v>12</v>
      </c>
      <c r="D3" s="30" t="s">
        <v>109</v>
      </c>
      <c r="E3" s="30" t="s">
        <v>110</v>
      </c>
      <c r="F3" s="30" t="s">
        <v>15</v>
      </c>
      <c r="G3" s="30">
        <v>12</v>
      </c>
      <c r="H3" s="30">
        <v>7</v>
      </c>
      <c r="I3" s="30">
        <v>5</v>
      </c>
      <c r="J3" s="30" t="s">
        <v>23</v>
      </c>
      <c r="K3" s="30" t="s">
        <v>17</v>
      </c>
      <c r="L3" s="31">
        <f>(((9+(9*(14+167)%))+(21+(21*(14+0+0)%)))*17240)</f>
        <v>848725.20000000007</v>
      </c>
      <c r="M3" s="31">
        <f>(((9+(9*(14+167)%))+(21+(21*(14+50+20)%)))*17240)</f>
        <v>1102153.2</v>
      </c>
      <c r="N3" s="31">
        <v>0</v>
      </c>
      <c r="O3" s="31">
        <f>L3*H3*12</f>
        <v>71292916.800000012</v>
      </c>
      <c r="P3" s="31">
        <f>M3*I3*12</f>
        <v>66129192</v>
      </c>
      <c r="Q3" s="31">
        <f>O3+P3</f>
        <v>137422108.80000001</v>
      </c>
      <c r="R3" s="31">
        <f>Q3*T3</f>
        <v>343555272</v>
      </c>
      <c r="S3" s="32" t="s">
        <v>40</v>
      </c>
      <c r="T3" s="29">
        <v>2.5</v>
      </c>
      <c r="U3" s="33"/>
      <c r="V3" s="33"/>
    </row>
    <row r="4" spans="1:22" s="8" customFormat="1" ht="40.5" customHeight="1" x14ac:dyDescent="0.25">
      <c r="A4" s="29">
        <v>3</v>
      </c>
      <c r="B4" s="30">
        <f>B3</f>
        <v>7086</v>
      </c>
      <c r="C4" s="30" t="s">
        <v>19</v>
      </c>
      <c r="D4" s="30" t="s">
        <v>67</v>
      </c>
      <c r="E4" s="30" t="s">
        <v>110</v>
      </c>
      <c r="F4" s="30" t="s">
        <v>15</v>
      </c>
      <c r="G4" s="30">
        <v>12</v>
      </c>
      <c r="H4" s="30" t="s">
        <v>111</v>
      </c>
      <c r="I4" s="30" t="s">
        <v>111</v>
      </c>
      <c r="J4" s="30" t="s">
        <v>23</v>
      </c>
      <c r="K4" s="30" t="s">
        <v>17</v>
      </c>
      <c r="L4" s="32"/>
      <c r="M4" s="31"/>
      <c r="N4" s="31">
        <f t="shared" ref="N4:N5" si="0">((9.3*14%)+9.3)*17240</f>
        <v>182778.48</v>
      </c>
      <c r="O4" s="31">
        <f>L4*G4*12</f>
        <v>0</v>
      </c>
      <c r="P4" s="31"/>
      <c r="Q4" s="31">
        <f>N4*G4*12</f>
        <v>26320101.120000005</v>
      </c>
      <c r="R4" s="31">
        <f t="shared" ref="R4:R5" si="1">Q4*T4</f>
        <v>65800252.800000012</v>
      </c>
      <c r="S4" s="32" t="s">
        <v>40</v>
      </c>
      <c r="T4" s="29">
        <v>2.5</v>
      </c>
      <c r="U4" s="33"/>
      <c r="V4" s="33"/>
    </row>
    <row r="5" spans="1:22" s="8" customFormat="1" ht="36" customHeight="1" x14ac:dyDescent="0.25">
      <c r="A5" s="29">
        <v>3</v>
      </c>
      <c r="B5" s="30">
        <f>B3</f>
        <v>7086</v>
      </c>
      <c r="C5" s="30" t="s">
        <v>19</v>
      </c>
      <c r="D5" s="30" t="s">
        <v>68</v>
      </c>
      <c r="E5" s="30" t="s">
        <v>110</v>
      </c>
      <c r="F5" s="30" t="s">
        <v>15</v>
      </c>
      <c r="G5" s="30">
        <v>12</v>
      </c>
      <c r="H5" s="30" t="s">
        <v>111</v>
      </c>
      <c r="I5" s="30" t="s">
        <v>111</v>
      </c>
      <c r="J5" s="30" t="s">
        <v>23</v>
      </c>
      <c r="K5" s="30" t="s">
        <v>17</v>
      </c>
      <c r="L5" s="32"/>
      <c r="M5" s="31"/>
      <c r="N5" s="31">
        <f t="shared" si="0"/>
        <v>182778.48</v>
      </c>
      <c r="O5" s="31">
        <f>L5*G5*12</f>
        <v>0</v>
      </c>
      <c r="P5" s="31"/>
      <c r="Q5" s="31">
        <f>N5*G5*12</f>
        <v>26320101.120000005</v>
      </c>
      <c r="R5" s="31">
        <f t="shared" si="1"/>
        <v>65800252.800000012</v>
      </c>
      <c r="S5" s="32" t="s">
        <v>40</v>
      </c>
      <c r="T5" s="29">
        <v>2.5</v>
      </c>
      <c r="U5" s="33"/>
      <c r="V5" s="33"/>
    </row>
    <row r="6" spans="1:22" s="8" customFormat="1" ht="36" customHeight="1" x14ac:dyDescent="0.25">
      <c r="A6" s="29">
        <v>4</v>
      </c>
      <c r="B6" s="30">
        <f>B3+1</f>
        <v>7087</v>
      </c>
      <c r="C6" s="30" t="s">
        <v>12</v>
      </c>
      <c r="D6" s="30" t="s">
        <v>109</v>
      </c>
      <c r="E6" s="30" t="s">
        <v>30</v>
      </c>
      <c r="F6" s="30" t="s">
        <v>15</v>
      </c>
      <c r="G6" s="30">
        <v>12</v>
      </c>
      <c r="H6" s="30">
        <v>7</v>
      </c>
      <c r="I6" s="30">
        <v>5</v>
      </c>
      <c r="J6" s="30" t="s">
        <v>23</v>
      </c>
      <c r="K6" s="30" t="s">
        <v>39</v>
      </c>
      <c r="L6" s="31">
        <f>(((9+(9*(28+167)%))+(21+(21*(28+0+0)%)))*17240)</f>
        <v>921133.20000000007</v>
      </c>
      <c r="M6" s="31">
        <f>(((9+(9*(28+167)%))+(21+(21*(28+50+20)%)))*17240)</f>
        <v>1174561.2</v>
      </c>
      <c r="N6" s="31">
        <v>0</v>
      </c>
      <c r="O6" s="31">
        <f>L6*H6*12</f>
        <v>77375188.800000012</v>
      </c>
      <c r="P6" s="31">
        <f>M6*I6*12</f>
        <v>70473672</v>
      </c>
      <c r="Q6" s="31">
        <f>O6+P6</f>
        <v>147848860.80000001</v>
      </c>
      <c r="R6" s="31">
        <f>Q6*T6</f>
        <v>369622152</v>
      </c>
      <c r="S6" s="32" t="s">
        <v>40</v>
      </c>
      <c r="T6" s="29">
        <v>2.5</v>
      </c>
      <c r="U6" s="33"/>
      <c r="V6" s="33"/>
    </row>
    <row r="7" spans="1:22" s="8" customFormat="1" ht="40.5" customHeight="1" x14ac:dyDescent="0.25">
      <c r="A7" s="29">
        <v>4</v>
      </c>
      <c r="B7" s="30">
        <f>B6</f>
        <v>7087</v>
      </c>
      <c r="C7" s="30" t="s">
        <v>19</v>
      </c>
      <c r="D7" s="30" t="s">
        <v>67</v>
      </c>
      <c r="E7" s="30" t="s">
        <v>30</v>
      </c>
      <c r="F7" s="30" t="s">
        <v>15</v>
      </c>
      <c r="G7" s="30">
        <v>12</v>
      </c>
      <c r="H7" s="30" t="s">
        <v>111</v>
      </c>
      <c r="I7" s="30" t="s">
        <v>111</v>
      </c>
      <c r="J7" s="30" t="s">
        <v>23</v>
      </c>
      <c r="K7" s="30" t="s">
        <v>39</v>
      </c>
      <c r="L7" s="32"/>
      <c r="M7" s="31"/>
      <c r="N7" s="31">
        <f>((9.3*28%)+9.3)*17240</f>
        <v>205224.96000000002</v>
      </c>
      <c r="O7" s="31">
        <f>L7*G7*12</f>
        <v>0</v>
      </c>
      <c r="P7" s="31"/>
      <c r="Q7" s="31">
        <f>N7*G7*12</f>
        <v>29552394.240000006</v>
      </c>
      <c r="R7" s="31">
        <f t="shared" ref="R7:R8" si="2">Q7*T7</f>
        <v>73880985.600000009</v>
      </c>
      <c r="S7" s="32" t="s">
        <v>40</v>
      </c>
      <c r="T7" s="29">
        <v>2.5</v>
      </c>
      <c r="U7" s="33"/>
      <c r="V7" s="33"/>
    </row>
    <row r="8" spans="1:22" s="8" customFormat="1" ht="54.75" customHeight="1" x14ac:dyDescent="0.25">
      <c r="A8" s="29">
        <v>4</v>
      </c>
      <c r="B8" s="30">
        <f>B6</f>
        <v>7087</v>
      </c>
      <c r="C8" s="30" t="s">
        <v>19</v>
      </c>
      <c r="D8" s="30" t="s">
        <v>68</v>
      </c>
      <c r="E8" s="30" t="s">
        <v>30</v>
      </c>
      <c r="F8" s="30" t="s">
        <v>15</v>
      </c>
      <c r="G8" s="30">
        <v>12</v>
      </c>
      <c r="H8" s="30" t="s">
        <v>111</v>
      </c>
      <c r="I8" s="30" t="s">
        <v>111</v>
      </c>
      <c r="J8" s="30" t="s">
        <v>23</v>
      </c>
      <c r="K8" s="30" t="s">
        <v>39</v>
      </c>
      <c r="L8" s="32"/>
      <c r="M8" s="31"/>
      <c r="N8" s="31">
        <f>((9.3*28%)+9.3)*17240</f>
        <v>205224.96000000002</v>
      </c>
      <c r="O8" s="31">
        <f>L8*G8*12</f>
        <v>0</v>
      </c>
      <c r="P8" s="31"/>
      <c r="Q8" s="31">
        <f>N8*G8*12</f>
        <v>29552394.240000006</v>
      </c>
      <c r="R8" s="31">
        <f t="shared" si="2"/>
        <v>73880985.600000009</v>
      </c>
      <c r="S8" s="32" t="s">
        <v>40</v>
      </c>
      <c r="T8" s="29">
        <v>2.5</v>
      </c>
      <c r="U8" s="33"/>
      <c r="V8" s="33"/>
    </row>
    <row r="9" spans="1:22" s="8" customFormat="1" ht="68.25" customHeight="1" x14ac:dyDescent="0.25">
      <c r="A9" s="29">
        <v>4</v>
      </c>
      <c r="B9" s="30">
        <f>B6+1</f>
        <v>7088</v>
      </c>
      <c r="C9" s="30" t="s">
        <v>12</v>
      </c>
      <c r="D9" s="30" t="s">
        <v>109</v>
      </c>
      <c r="E9" s="30" t="s">
        <v>30</v>
      </c>
      <c r="F9" s="30" t="s">
        <v>15</v>
      </c>
      <c r="G9" s="30">
        <v>12</v>
      </c>
      <c r="H9" s="30">
        <v>7</v>
      </c>
      <c r="I9" s="30">
        <v>5</v>
      </c>
      <c r="J9" s="30" t="s">
        <v>23</v>
      </c>
      <c r="K9" s="30" t="s">
        <v>24</v>
      </c>
      <c r="L9" s="31">
        <f>(((9+(9*(28+167)%))+(21+(21*(28+0+0)%)))*17240)</f>
        <v>921133.20000000007</v>
      </c>
      <c r="M9" s="31">
        <f>(((9+(9*(28+167)%))+(21+(21*(28+50+20)%)))*17240)</f>
        <v>1174561.2</v>
      </c>
      <c r="N9" s="31">
        <v>0</v>
      </c>
      <c r="O9" s="31">
        <f>L9*H9*12</f>
        <v>77375188.800000012</v>
      </c>
      <c r="P9" s="31">
        <f>M9*I9*12</f>
        <v>70473672</v>
      </c>
      <c r="Q9" s="31">
        <f>O9+P9</f>
        <v>147848860.80000001</v>
      </c>
      <c r="R9" s="31">
        <f>Q9*T9</f>
        <v>369622152</v>
      </c>
      <c r="S9" s="32" t="s">
        <v>40</v>
      </c>
      <c r="T9" s="29">
        <v>2.5</v>
      </c>
      <c r="U9" s="33"/>
      <c r="V9" s="33"/>
    </row>
    <row r="10" spans="1:22" s="8" customFormat="1" ht="66.75" customHeight="1" x14ac:dyDescent="0.25">
      <c r="A10" s="29">
        <v>4</v>
      </c>
      <c r="B10" s="30">
        <f>B9</f>
        <v>7088</v>
      </c>
      <c r="C10" s="30" t="s">
        <v>19</v>
      </c>
      <c r="D10" s="30" t="s">
        <v>67</v>
      </c>
      <c r="E10" s="30" t="s">
        <v>30</v>
      </c>
      <c r="F10" s="30" t="s">
        <v>15</v>
      </c>
      <c r="G10" s="30">
        <v>12</v>
      </c>
      <c r="H10" s="30" t="s">
        <v>111</v>
      </c>
      <c r="I10" s="30" t="s">
        <v>111</v>
      </c>
      <c r="J10" s="30" t="s">
        <v>23</v>
      </c>
      <c r="K10" s="30" t="s">
        <v>24</v>
      </c>
      <c r="L10" s="32"/>
      <c r="M10" s="31"/>
      <c r="N10" s="31">
        <f>((9.3*28%)+9.3)*17240</f>
        <v>205224.96000000002</v>
      </c>
      <c r="O10" s="31">
        <f>L10*G10*12</f>
        <v>0</v>
      </c>
      <c r="P10" s="31"/>
      <c r="Q10" s="31">
        <f>N10*G10*12</f>
        <v>29552394.240000006</v>
      </c>
      <c r="R10" s="31">
        <f t="shared" ref="R10:R11" si="3">Q10*T10</f>
        <v>73880985.600000009</v>
      </c>
      <c r="S10" s="32" t="s">
        <v>40</v>
      </c>
      <c r="T10" s="29">
        <v>2.5</v>
      </c>
      <c r="U10" s="33"/>
      <c r="V10" s="33"/>
    </row>
    <row r="11" spans="1:22" s="8" customFormat="1" ht="29.25" customHeight="1" x14ac:dyDescent="0.25">
      <c r="A11" s="29">
        <v>4</v>
      </c>
      <c r="B11" s="30">
        <f>B9</f>
        <v>7088</v>
      </c>
      <c r="C11" s="30" t="s">
        <v>19</v>
      </c>
      <c r="D11" s="30" t="s">
        <v>68</v>
      </c>
      <c r="E11" s="30" t="s">
        <v>30</v>
      </c>
      <c r="F11" s="30" t="s">
        <v>15</v>
      </c>
      <c r="G11" s="30">
        <v>12</v>
      </c>
      <c r="H11" s="30" t="s">
        <v>111</v>
      </c>
      <c r="I11" s="30" t="s">
        <v>111</v>
      </c>
      <c r="J11" s="30" t="s">
        <v>23</v>
      </c>
      <c r="K11" s="30" t="s">
        <v>24</v>
      </c>
      <c r="L11" s="32"/>
      <c r="M11" s="31"/>
      <c r="N11" s="31">
        <f>((9.3*28%)+9.3)*17240</f>
        <v>205224.96000000002</v>
      </c>
      <c r="O11" s="31">
        <f>L11*G11*12</f>
        <v>0</v>
      </c>
      <c r="P11" s="31"/>
      <c r="Q11" s="31">
        <f>N11*G11*12</f>
        <v>29552394.240000006</v>
      </c>
      <c r="R11" s="31">
        <f t="shared" si="3"/>
        <v>73880985.600000009</v>
      </c>
      <c r="S11" s="32" t="s">
        <v>40</v>
      </c>
      <c r="T11" s="29">
        <v>2.5</v>
      </c>
      <c r="U11" s="33"/>
      <c r="V11" s="33"/>
    </row>
    <row r="12" spans="1:22" s="17" customFormat="1" ht="42.75" customHeight="1" x14ac:dyDescent="0.25">
      <c r="A12" s="29">
        <v>4</v>
      </c>
      <c r="B12" s="30">
        <f>B9+1</f>
        <v>7089</v>
      </c>
      <c r="C12" s="30" t="s">
        <v>12</v>
      </c>
      <c r="D12" s="30" t="s">
        <v>109</v>
      </c>
      <c r="E12" s="30" t="s">
        <v>112</v>
      </c>
      <c r="F12" s="30" t="s">
        <v>15</v>
      </c>
      <c r="G12" s="30">
        <v>12</v>
      </c>
      <c r="H12" s="30">
        <v>7</v>
      </c>
      <c r="I12" s="30">
        <v>5</v>
      </c>
      <c r="J12" s="30" t="s">
        <v>23</v>
      </c>
      <c r="K12" s="29" t="s">
        <v>24</v>
      </c>
      <c r="L12" s="31">
        <f>(((9+(9*(14+167)%))+(21+(21*(14+0+0)%)))*17240)</f>
        <v>848725.20000000007</v>
      </c>
      <c r="M12" s="31">
        <f>(((9+(9*(14+167)%))+(21+(21*(14+50+20)%)))*17240)</f>
        <v>1102153.2</v>
      </c>
      <c r="N12" s="31">
        <v>0</v>
      </c>
      <c r="O12" s="31">
        <f>L12*H12*12</f>
        <v>71292916.800000012</v>
      </c>
      <c r="P12" s="31">
        <f>M12*I12*12</f>
        <v>66129192</v>
      </c>
      <c r="Q12" s="31">
        <f>O12+P12</f>
        <v>137422108.80000001</v>
      </c>
      <c r="R12" s="31">
        <f t="shared" ref="R12:R17" si="4">Q12*T12</f>
        <v>343555272</v>
      </c>
      <c r="S12" s="32" t="s">
        <v>40</v>
      </c>
      <c r="T12" s="29">
        <v>2.5</v>
      </c>
    </row>
    <row r="13" spans="1:22" s="17" customFormat="1" ht="63.75" customHeight="1" x14ac:dyDescent="0.25">
      <c r="A13" s="29">
        <v>4</v>
      </c>
      <c r="B13" s="30">
        <f>B12</f>
        <v>7089</v>
      </c>
      <c r="C13" s="30" t="s">
        <v>19</v>
      </c>
      <c r="D13" s="30" t="s">
        <v>67</v>
      </c>
      <c r="E13" s="30" t="s">
        <v>112</v>
      </c>
      <c r="F13" s="30" t="s">
        <v>15</v>
      </c>
      <c r="G13" s="30">
        <v>12</v>
      </c>
      <c r="H13" s="30" t="s">
        <v>111</v>
      </c>
      <c r="I13" s="30" t="s">
        <v>111</v>
      </c>
      <c r="J13" s="30" t="s">
        <v>23</v>
      </c>
      <c r="K13" s="29" t="s">
        <v>24</v>
      </c>
      <c r="L13" s="32"/>
      <c r="M13" s="31"/>
      <c r="N13" s="31">
        <f t="shared" ref="N13:N14" si="5">((9.3*14%)+9.3)*17240</f>
        <v>182778.48</v>
      </c>
      <c r="O13" s="31">
        <f>L13*G13*12</f>
        <v>0</v>
      </c>
      <c r="P13" s="31"/>
      <c r="Q13" s="31">
        <f>N13*G13*12</f>
        <v>26320101.120000005</v>
      </c>
      <c r="R13" s="31">
        <f t="shared" si="4"/>
        <v>65800252.800000012</v>
      </c>
      <c r="S13" s="32" t="s">
        <v>40</v>
      </c>
      <c r="T13" s="29">
        <v>2.5</v>
      </c>
    </row>
    <row r="14" spans="1:22" s="17" customFormat="1" ht="47.25" customHeight="1" x14ac:dyDescent="0.25">
      <c r="A14" s="29">
        <v>4</v>
      </c>
      <c r="B14" s="30">
        <f>B12</f>
        <v>7089</v>
      </c>
      <c r="C14" s="30" t="s">
        <v>19</v>
      </c>
      <c r="D14" s="30" t="s">
        <v>68</v>
      </c>
      <c r="E14" s="30" t="s">
        <v>112</v>
      </c>
      <c r="F14" s="30" t="s">
        <v>15</v>
      </c>
      <c r="G14" s="30">
        <v>12</v>
      </c>
      <c r="H14" s="30" t="s">
        <v>111</v>
      </c>
      <c r="I14" s="30" t="s">
        <v>111</v>
      </c>
      <c r="J14" s="30" t="s">
        <v>23</v>
      </c>
      <c r="K14" s="29" t="s">
        <v>24</v>
      </c>
      <c r="L14" s="32"/>
      <c r="M14" s="31"/>
      <c r="N14" s="31">
        <f t="shared" si="5"/>
        <v>182778.48</v>
      </c>
      <c r="O14" s="31">
        <f>L14*G14*12</f>
        <v>0</v>
      </c>
      <c r="P14" s="31"/>
      <c r="Q14" s="31">
        <f>N14*G14*12</f>
        <v>26320101.120000005</v>
      </c>
      <c r="R14" s="31">
        <f t="shared" si="4"/>
        <v>65800252.800000012</v>
      </c>
      <c r="S14" s="32" t="s">
        <v>40</v>
      </c>
      <c r="T14" s="29">
        <v>2.5</v>
      </c>
    </row>
    <row r="15" spans="1:22" s="17" customFormat="1" ht="61.5" customHeight="1" x14ac:dyDescent="0.25">
      <c r="A15" s="29">
        <v>4</v>
      </c>
      <c r="B15" s="30">
        <f>B12+1</f>
        <v>7090</v>
      </c>
      <c r="C15" s="30" t="s">
        <v>12</v>
      </c>
      <c r="D15" s="30" t="s">
        <v>109</v>
      </c>
      <c r="E15" s="30" t="s">
        <v>112</v>
      </c>
      <c r="F15" s="30" t="s">
        <v>15</v>
      </c>
      <c r="G15" s="30">
        <v>12</v>
      </c>
      <c r="H15" s="30">
        <v>7</v>
      </c>
      <c r="I15" s="30">
        <v>5</v>
      </c>
      <c r="J15" s="30" t="s">
        <v>23</v>
      </c>
      <c r="K15" s="29" t="s">
        <v>39</v>
      </c>
      <c r="L15" s="31">
        <f>(((9+(9*(14+167)%))+(21+(21*(14+0+0)%)))*17240)</f>
        <v>848725.20000000007</v>
      </c>
      <c r="M15" s="31">
        <f>(((9+(9*(14+167)%))+(21+(21*(14+50+20)%)))*17240)</f>
        <v>1102153.2</v>
      </c>
      <c r="N15" s="31">
        <v>0</v>
      </c>
      <c r="O15" s="31">
        <f>L15*H15*12</f>
        <v>71292916.800000012</v>
      </c>
      <c r="P15" s="31">
        <f>M15*I15*12</f>
        <v>66129192</v>
      </c>
      <c r="Q15" s="31">
        <f>O15+P15</f>
        <v>137422108.80000001</v>
      </c>
      <c r="R15" s="31">
        <f t="shared" si="4"/>
        <v>343555272</v>
      </c>
      <c r="S15" s="32" t="s">
        <v>40</v>
      </c>
      <c r="T15" s="29">
        <v>2.5</v>
      </c>
    </row>
    <row r="16" spans="1:22" s="17" customFormat="1" ht="43.5" customHeight="1" x14ac:dyDescent="0.25">
      <c r="A16" s="29">
        <v>4</v>
      </c>
      <c r="B16" s="30">
        <f>B15</f>
        <v>7090</v>
      </c>
      <c r="C16" s="30" t="s">
        <v>19</v>
      </c>
      <c r="D16" s="30" t="s">
        <v>67</v>
      </c>
      <c r="E16" s="30" t="s">
        <v>112</v>
      </c>
      <c r="F16" s="30" t="s">
        <v>15</v>
      </c>
      <c r="G16" s="30">
        <v>12</v>
      </c>
      <c r="H16" s="30" t="s">
        <v>111</v>
      </c>
      <c r="I16" s="30" t="s">
        <v>111</v>
      </c>
      <c r="J16" s="30" t="s">
        <v>23</v>
      </c>
      <c r="K16" s="29" t="s">
        <v>39</v>
      </c>
      <c r="L16" s="32"/>
      <c r="M16" s="31"/>
      <c r="N16" s="31">
        <f t="shared" ref="N16:N20" si="6">((9.3*14%)+9.3)*17240</f>
        <v>182778.48</v>
      </c>
      <c r="O16" s="31">
        <f>L16*G16*12</f>
        <v>0</v>
      </c>
      <c r="P16" s="31"/>
      <c r="Q16" s="31">
        <f>N16*G16*12</f>
        <v>26320101.120000005</v>
      </c>
      <c r="R16" s="31">
        <f t="shared" si="4"/>
        <v>65800252.800000012</v>
      </c>
      <c r="S16" s="32" t="s">
        <v>40</v>
      </c>
      <c r="T16" s="29">
        <v>2.5</v>
      </c>
    </row>
    <row r="17" spans="1:22" s="17" customFormat="1" ht="36.75" customHeight="1" x14ac:dyDescent="0.25">
      <c r="A17" s="29">
        <v>4</v>
      </c>
      <c r="B17" s="30">
        <f>B15</f>
        <v>7090</v>
      </c>
      <c r="C17" s="30" t="s">
        <v>19</v>
      </c>
      <c r="D17" s="30" t="s">
        <v>68</v>
      </c>
      <c r="E17" s="30" t="s">
        <v>112</v>
      </c>
      <c r="F17" s="30" t="s">
        <v>15</v>
      </c>
      <c r="G17" s="30">
        <v>12</v>
      </c>
      <c r="H17" s="30" t="s">
        <v>111</v>
      </c>
      <c r="I17" s="30" t="s">
        <v>111</v>
      </c>
      <c r="J17" s="30" t="s">
        <v>23</v>
      </c>
      <c r="K17" s="29" t="s">
        <v>39</v>
      </c>
      <c r="L17" s="32"/>
      <c r="M17" s="31"/>
      <c r="N17" s="31">
        <f t="shared" si="6"/>
        <v>182778.48</v>
      </c>
      <c r="O17" s="31">
        <f>L17*G17*12</f>
        <v>0</v>
      </c>
      <c r="P17" s="31"/>
      <c r="Q17" s="31">
        <f>N17*G17*12</f>
        <v>26320101.120000005</v>
      </c>
      <c r="R17" s="31">
        <f t="shared" si="4"/>
        <v>65800252.800000012</v>
      </c>
      <c r="S17" s="32" t="s">
        <v>40</v>
      </c>
      <c r="T17" s="29">
        <v>2.5</v>
      </c>
    </row>
    <row r="18" spans="1:22" s="17" customFormat="1" ht="45" customHeight="1" x14ac:dyDescent="0.25">
      <c r="A18" s="29">
        <v>4</v>
      </c>
      <c r="B18" s="30">
        <f>B15+1</f>
        <v>7091</v>
      </c>
      <c r="C18" s="29" t="s">
        <v>12</v>
      </c>
      <c r="D18" s="29" t="s">
        <v>109</v>
      </c>
      <c r="E18" s="29" t="s">
        <v>113</v>
      </c>
      <c r="F18" s="29" t="s">
        <v>15</v>
      </c>
      <c r="G18" s="29">
        <v>12</v>
      </c>
      <c r="H18" s="29">
        <v>7</v>
      </c>
      <c r="I18" s="29">
        <v>5</v>
      </c>
      <c r="J18" s="29" t="s">
        <v>23</v>
      </c>
      <c r="K18" s="29" t="s">
        <v>39</v>
      </c>
      <c r="L18" s="31">
        <f>(((9+(9*(14+167)%))+(21+(21*(14+0+0)%)))*17240)</f>
        <v>848725.20000000007</v>
      </c>
      <c r="M18" s="31">
        <f>(((9+(9*(14+167)%))+(21+(21*(14+50+20)%)))*17240)</f>
        <v>1102153.2</v>
      </c>
      <c r="N18" s="31">
        <v>0</v>
      </c>
      <c r="O18" s="31">
        <f>L18*H18*12</f>
        <v>71292916.800000012</v>
      </c>
      <c r="P18" s="31">
        <f>M18*I18*12</f>
        <v>66129192</v>
      </c>
      <c r="Q18" s="31">
        <f>O18+P18</f>
        <v>137422108.80000001</v>
      </c>
      <c r="R18" s="31">
        <f t="shared" ref="R18:R20" si="7">Q18*T18</f>
        <v>343555272</v>
      </c>
      <c r="S18" s="32" t="s">
        <v>40</v>
      </c>
      <c r="T18" s="29">
        <v>2.5</v>
      </c>
    </row>
    <row r="19" spans="1:22" s="17" customFormat="1" ht="49.5" customHeight="1" x14ac:dyDescent="0.25">
      <c r="A19" s="29">
        <v>4</v>
      </c>
      <c r="B19" s="29">
        <f>B18</f>
        <v>7091</v>
      </c>
      <c r="C19" s="29" t="s">
        <v>19</v>
      </c>
      <c r="D19" s="29" t="s">
        <v>67</v>
      </c>
      <c r="E19" s="29" t="s">
        <v>113</v>
      </c>
      <c r="F19" s="29" t="s">
        <v>15</v>
      </c>
      <c r="G19" s="29">
        <v>12</v>
      </c>
      <c r="H19" s="29" t="s">
        <v>111</v>
      </c>
      <c r="I19" s="29" t="s">
        <v>111</v>
      </c>
      <c r="J19" s="29" t="s">
        <v>23</v>
      </c>
      <c r="K19" s="29" t="s">
        <v>39</v>
      </c>
      <c r="L19" s="32"/>
      <c r="M19" s="31"/>
      <c r="N19" s="31">
        <f t="shared" si="6"/>
        <v>182778.48</v>
      </c>
      <c r="O19" s="31">
        <f>L19*G19*12</f>
        <v>0</v>
      </c>
      <c r="P19" s="31"/>
      <c r="Q19" s="31">
        <f>N19*G19*12</f>
        <v>26320101.120000005</v>
      </c>
      <c r="R19" s="31">
        <f t="shared" si="7"/>
        <v>65800252.800000012</v>
      </c>
      <c r="S19" s="32" t="s">
        <v>40</v>
      </c>
      <c r="T19" s="29">
        <v>2.5</v>
      </c>
    </row>
    <row r="20" spans="1:22" s="17" customFormat="1" ht="52.5" customHeight="1" x14ac:dyDescent="0.25">
      <c r="A20" s="29">
        <v>4</v>
      </c>
      <c r="B20" s="29">
        <f>B18</f>
        <v>7091</v>
      </c>
      <c r="C20" s="29" t="s">
        <v>19</v>
      </c>
      <c r="D20" s="29" t="s">
        <v>68</v>
      </c>
      <c r="E20" s="29" t="s">
        <v>113</v>
      </c>
      <c r="F20" s="29" t="s">
        <v>15</v>
      </c>
      <c r="G20" s="29">
        <v>12</v>
      </c>
      <c r="H20" s="29" t="s">
        <v>111</v>
      </c>
      <c r="I20" s="29" t="s">
        <v>111</v>
      </c>
      <c r="J20" s="29" t="s">
        <v>23</v>
      </c>
      <c r="K20" s="29" t="s">
        <v>39</v>
      </c>
      <c r="L20" s="32"/>
      <c r="M20" s="31"/>
      <c r="N20" s="31">
        <f t="shared" si="6"/>
        <v>182778.48</v>
      </c>
      <c r="O20" s="31">
        <f>L20*G20*12</f>
        <v>0</v>
      </c>
      <c r="P20" s="31"/>
      <c r="Q20" s="31">
        <f>N20*G20*12</f>
        <v>26320101.120000005</v>
      </c>
      <c r="R20" s="31">
        <f t="shared" si="7"/>
        <v>65800252.800000012</v>
      </c>
      <c r="S20" s="32" t="s">
        <v>40</v>
      </c>
      <c r="T20" s="29">
        <v>2.5</v>
      </c>
    </row>
    <row r="21" spans="1:22" s="8" customFormat="1" ht="45" customHeight="1" x14ac:dyDescent="0.25">
      <c r="A21" s="29">
        <v>6</v>
      </c>
      <c r="B21" s="30">
        <f>B18+1</f>
        <v>7092</v>
      </c>
      <c r="C21" s="30" t="s">
        <v>12</v>
      </c>
      <c r="D21" s="30" t="s">
        <v>109</v>
      </c>
      <c r="E21" s="30" t="s">
        <v>56</v>
      </c>
      <c r="F21" s="30" t="s">
        <v>15</v>
      </c>
      <c r="G21" s="30">
        <v>12</v>
      </c>
      <c r="H21" s="30">
        <v>7</v>
      </c>
      <c r="I21" s="30">
        <v>5</v>
      </c>
      <c r="J21" s="30" t="s">
        <v>23</v>
      </c>
      <c r="K21" s="30" t="s">
        <v>39</v>
      </c>
      <c r="L21" s="31">
        <f>(((9+(9*(0+167)%))+(21+(21*(0+0+0)%)))*17240)</f>
        <v>776317.20000000007</v>
      </c>
      <c r="M21" s="31">
        <f>(((9+(9*(0+167)%))+(21+(21*(0+50+20)%)))*17240)</f>
        <v>1029745.2000000001</v>
      </c>
      <c r="N21" s="31">
        <v>0</v>
      </c>
      <c r="O21" s="31">
        <f>L21*H21*12</f>
        <v>65210644.800000004</v>
      </c>
      <c r="P21" s="31">
        <f>M21*I21*12</f>
        <v>61784712</v>
      </c>
      <c r="Q21" s="31">
        <f>O21+P21</f>
        <v>126995356.80000001</v>
      </c>
      <c r="R21" s="31">
        <f>Q21*T21</f>
        <v>380986070.40000004</v>
      </c>
      <c r="S21" s="32" t="s">
        <v>114</v>
      </c>
      <c r="T21" s="29">
        <v>3</v>
      </c>
      <c r="U21" s="33"/>
      <c r="V21" s="33"/>
    </row>
    <row r="22" spans="1:22" s="8" customFormat="1" ht="42.75" customHeight="1" x14ac:dyDescent="0.25">
      <c r="A22" s="29">
        <v>6</v>
      </c>
      <c r="B22" s="30">
        <f>B21</f>
        <v>7092</v>
      </c>
      <c r="C22" s="30" t="s">
        <v>19</v>
      </c>
      <c r="D22" s="30" t="s">
        <v>67</v>
      </c>
      <c r="E22" s="30" t="s">
        <v>56</v>
      </c>
      <c r="F22" s="30" t="s">
        <v>15</v>
      </c>
      <c r="G22" s="30">
        <v>12</v>
      </c>
      <c r="H22" s="30" t="s">
        <v>111</v>
      </c>
      <c r="I22" s="30" t="s">
        <v>111</v>
      </c>
      <c r="J22" s="30" t="s">
        <v>23</v>
      </c>
      <c r="K22" s="30" t="s">
        <v>39</v>
      </c>
      <c r="L22" s="32"/>
      <c r="M22" s="31"/>
      <c r="N22" s="31">
        <f>((9.3*0%)+9.3)*17240</f>
        <v>160332</v>
      </c>
      <c r="O22" s="31">
        <f>L22*G22*12</f>
        <v>0</v>
      </c>
      <c r="P22" s="31"/>
      <c r="Q22" s="31">
        <f>N22*G22*12</f>
        <v>23087808</v>
      </c>
      <c r="R22" s="31">
        <f t="shared" ref="R22:R35" si="8">Q22*T22</f>
        <v>69263424</v>
      </c>
      <c r="S22" s="32" t="s">
        <v>114</v>
      </c>
      <c r="T22" s="29">
        <v>3</v>
      </c>
      <c r="U22" s="33"/>
      <c r="V22" s="33"/>
    </row>
    <row r="23" spans="1:22" s="8" customFormat="1" ht="38.25" customHeight="1" x14ac:dyDescent="0.25">
      <c r="A23" s="29">
        <v>6</v>
      </c>
      <c r="B23" s="30">
        <f>B21</f>
        <v>7092</v>
      </c>
      <c r="C23" s="30" t="s">
        <v>19</v>
      </c>
      <c r="D23" s="30" t="s">
        <v>68</v>
      </c>
      <c r="E23" s="30" t="s">
        <v>56</v>
      </c>
      <c r="F23" s="30" t="s">
        <v>15</v>
      </c>
      <c r="G23" s="30">
        <v>12</v>
      </c>
      <c r="H23" s="30" t="s">
        <v>111</v>
      </c>
      <c r="I23" s="30" t="s">
        <v>111</v>
      </c>
      <c r="J23" s="30" t="s">
        <v>23</v>
      </c>
      <c r="K23" s="30" t="s">
        <v>39</v>
      </c>
      <c r="L23" s="32"/>
      <c r="M23" s="31"/>
      <c r="N23" s="31">
        <f>((9.3*0%)+9.3)*17240</f>
        <v>160332</v>
      </c>
      <c r="O23" s="31">
        <f>L23*G23*12</f>
        <v>0</v>
      </c>
      <c r="P23" s="31"/>
      <c r="Q23" s="31">
        <f>N23*G23*12</f>
        <v>23087808</v>
      </c>
      <c r="R23" s="31">
        <f t="shared" si="8"/>
        <v>69263424</v>
      </c>
      <c r="S23" s="32" t="s">
        <v>114</v>
      </c>
      <c r="T23" s="29">
        <v>3</v>
      </c>
      <c r="U23" s="33"/>
      <c r="V23" s="33"/>
    </row>
    <row r="24" spans="1:22" s="8" customFormat="1" ht="36.75" customHeight="1" x14ac:dyDescent="0.25">
      <c r="A24" s="29">
        <v>6</v>
      </c>
      <c r="B24" s="30">
        <f>B21+1</f>
        <v>7093</v>
      </c>
      <c r="C24" s="30" t="s">
        <v>12</v>
      </c>
      <c r="D24" s="30" t="s">
        <v>115</v>
      </c>
      <c r="E24" s="30" t="s">
        <v>57</v>
      </c>
      <c r="F24" s="30" t="s">
        <v>15</v>
      </c>
      <c r="G24" s="30">
        <v>12</v>
      </c>
      <c r="H24" s="30">
        <v>7</v>
      </c>
      <c r="I24" s="30">
        <v>5</v>
      </c>
      <c r="J24" s="30" t="s">
        <v>116</v>
      </c>
      <c r="K24" s="30" t="s">
        <v>17</v>
      </c>
      <c r="L24" s="31">
        <f>(((9+(9*(0+0)%))+(21+(21*(0+0+0)%)))*17240)</f>
        <v>517200</v>
      </c>
      <c r="M24" s="31">
        <f>(((9+(9*(0+0)%))+(21+(21*(0+50+20)%)))*17240)</f>
        <v>770628</v>
      </c>
      <c r="N24" s="31">
        <v>0</v>
      </c>
      <c r="O24" s="31">
        <f>L24*H24*12</f>
        <v>43444800</v>
      </c>
      <c r="P24" s="31">
        <f>M24*I24*12</f>
        <v>46237680</v>
      </c>
      <c r="Q24" s="31">
        <f>O24+P24</f>
        <v>89682480</v>
      </c>
      <c r="R24" s="31">
        <f>Q24*T24</f>
        <v>403571160</v>
      </c>
      <c r="S24" s="32" t="s">
        <v>117</v>
      </c>
      <c r="T24" s="29">
        <v>4.5</v>
      </c>
      <c r="U24" s="33"/>
      <c r="V24" s="33"/>
    </row>
    <row r="25" spans="1:22" s="8" customFormat="1" ht="41.25" customHeight="1" x14ac:dyDescent="0.25">
      <c r="A25" s="29">
        <v>6</v>
      </c>
      <c r="B25" s="30">
        <f>B24</f>
        <v>7093</v>
      </c>
      <c r="C25" s="30" t="s">
        <v>19</v>
      </c>
      <c r="D25" s="30" t="s">
        <v>67</v>
      </c>
      <c r="E25" s="30" t="s">
        <v>57</v>
      </c>
      <c r="F25" s="30" t="s">
        <v>15</v>
      </c>
      <c r="G25" s="30">
        <v>12</v>
      </c>
      <c r="H25" s="30" t="s">
        <v>111</v>
      </c>
      <c r="I25" s="30" t="s">
        <v>111</v>
      </c>
      <c r="J25" s="30" t="s">
        <v>116</v>
      </c>
      <c r="K25" s="30" t="s">
        <v>17</v>
      </c>
      <c r="L25" s="32"/>
      <c r="M25" s="31"/>
      <c r="N25" s="31">
        <f>((9.3*0%)+9.3)*17240</f>
        <v>160332</v>
      </c>
      <c r="O25" s="31">
        <f>L25*G25*12</f>
        <v>0</v>
      </c>
      <c r="P25" s="31"/>
      <c r="Q25" s="31">
        <f>N25*G25*12</f>
        <v>23087808</v>
      </c>
      <c r="R25" s="31">
        <f t="shared" ref="R25:R26" si="9">Q25*T25</f>
        <v>103895136</v>
      </c>
      <c r="S25" s="32" t="s">
        <v>117</v>
      </c>
      <c r="T25" s="29">
        <v>4.5</v>
      </c>
      <c r="U25" s="33"/>
      <c r="V25" s="33"/>
    </row>
    <row r="26" spans="1:22" s="8" customFormat="1" ht="45.75" customHeight="1" x14ac:dyDescent="0.25">
      <c r="A26" s="29">
        <v>6</v>
      </c>
      <c r="B26" s="30">
        <f>B24</f>
        <v>7093</v>
      </c>
      <c r="C26" s="30" t="s">
        <v>19</v>
      </c>
      <c r="D26" s="30" t="s">
        <v>68</v>
      </c>
      <c r="E26" s="30" t="s">
        <v>57</v>
      </c>
      <c r="F26" s="30" t="s">
        <v>15</v>
      </c>
      <c r="G26" s="30">
        <v>12</v>
      </c>
      <c r="H26" s="30" t="s">
        <v>111</v>
      </c>
      <c r="I26" s="30" t="s">
        <v>111</v>
      </c>
      <c r="J26" s="30" t="s">
        <v>116</v>
      </c>
      <c r="K26" s="30" t="s">
        <v>17</v>
      </c>
      <c r="L26" s="32"/>
      <c r="M26" s="31"/>
      <c r="N26" s="31">
        <f>((9.3*0%)+9.3)*17240</f>
        <v>160332</v>
      </c>
      <c r="O26" s="31">
        <f>L26*G26*12</f>
        <v>0</v>
      </c>
      <c r="P26" s="31"/>
      <c r="Q26" s="31">
        <f>N26*G26*12</f>
        <v>23087808</v>
      </c>
      <c r="R26" s="31">
        <f t="shared" si="9"/>
        <v>103895136</v>
      </c>
      <c r="S26" s="32" t="s">
        <v>117</v>
      </c>
      <c r="T26" s="29">
        <v>4.5</v>
      </c>
      <c r="U26" s="33"/>
      <c r="V26" s="33"/>
    </row>
    <row r="27" spans="1:22" s="8" customFormat="1" ht="42.75" customHeight="1" x14ac:dyDescent="0.25">
      <c r="A27" s="29">
        <v>10</v>
      </c>
      <c r="B27" s="30">
        <f>B24+1</f>
        <v>7094</v>
      </c>
      <c r="C27" s="30" t="s">
        <v>12</v>
      </c>
      <c r="D27" s="30" t="s">
        <v>109</v>
      </c>
      <c r="E27" s="30" t="s">
        <v>74</v>
      </c>
      <c r="F27" s="30" t="s">
        <v>15</v>
      </c>
      <c r="G27" s="30">
        <v>12</v>
      </c>
      <c r="H27" s="30">
        <v>7</v>
      </c>
      <c r="I27" s="30">
        <v>5</v>
      </c>
      <c r="J27" s="30" t="s">
        <v>23</v>
      </c>
      <c r="K27" s="30" t="s">
        <v>39</v>
      </c>
      <c r="L27" s="31">
        <f>(((9+(9*(14+167)%))+(21+(21*(14+0+0)%)))*17240)</f>
        <v>848725.20000000007</v>
      </c>
      <c r="M27" s="31">
        <f>(((9+(9*(14+167)%))+(21+(21*(14+50+20)%)))*17240)</f>
        <v>1102153.2</v>
      </c>
      <c r="N27" s="31">
        <v>0</v>
      </c>
      <c r="O27" s="31">
        <f>L27*H27*12</f>
        <v>71292916.800000012</v>
      </c>
      <c r="P27" s="31">
        <f>M27*I27*12</f>
        <v>66129192</v>
      </c>
      <c r="Q27" s="31">
        <f>O27+P27</f>
        <v>137422108.80000001</v>
      </c>
      <c r="R27" s="31">
        <f>Q27*T27</f>
        <v>343555272</v>
      </c>
      <c r="S27" s="32" t="s">
        <v>40</v>
      </c>
      <c r="T27" s="29">
        <v>2.5</v>
      </c>
      <c r="U27" s="33"/>
      <c r="V27" s="33"/>
    </row>
    <row r="28" spans="1:22" s="8" customFormat="1" ht="51.75" customHeight="1" x14ac:dyDescent="0.25">
      <c r="A28" s="29">
        <v>10</v>
      </c>
      <c r="B28" s="30">
        <f>B27</f>
        <v>7094</v>
      </c>
      <c r="C28" s="30" t="s">
        <v>19</v>
      </c>
      <c r="D28" s="30" t="s">
        <v>67</v>
      </c>
      <c r="E28" s="30" t="s">
        <v>74</v>
      </c>
      <c r="F28" s="30" t="s">
        <v>15</v>
      </c>
      <c r="G28" s="30">
        <v>12</v>
      </c>
      <c r="H28" s="30" t="s">
        <v>111</v>
      </c>
      <c r="I28" s="30" t="s">
        <v>111</v>
      </c>
      <c r="J28" s="30" t="s">
        <v>23</v>
      </c>
      <c r="K28" s="30" t="s">
        <v>39</v>
      </c>
      <c r="L28" s="32"/>
      <c r="M28" s="31"/>
      <c r="N28" s="31">
        <f t="shared" ref="N28:N32" si="10">((9.3*14%)+9.3)*17240</f>
        <v>182778.48</v>
      </c>
      <c r="O28" s="31">
        <f>L28*G28*12</f>
        <v>0</v>
      </c>
      <c r="P28" s="31"/>
      <c r="Q28" s="31">
        <f>N28*G28*12</f>
        <v>26320101.120000005</v>
      </c>
      <c r="R28" s="31">
        <f t="shared" ref="R28:R29" si="11">Q28*T28</f>
        <v>65800252.800000012</v>
      </c>
      <c r="S28" s="32" t="s">
        <v>40</v>
      </c>
      <c r="T28" s="29">
        <v>2.5</v>
      </c>
      <c r="U28" s="33"/>
      <c r="V28" s="33"/>
    </row>
    <row r="29" spans="1:22" s="8" customFormat="1" ht="42.75" customHeight="1" x14ac:dyDescent="0.25">
      <c r="A29" s="29">
        <v>10</v>
      </c>
      <c r="B29" s="30">
        <f>B27</f>
        <v>7094</v>
      </c>
      <c r="C29" s="30" t="s">
        <v>19</v>
      </c>
      <c r="D29" s="30" t="s">
        <v>68</v>
      </c>
      <c r="E29" s="30" t="s">
        <v>74</v>
      </c>
      <c r="F29" s="30" t="s">
        <v>15</v>
      </c>
      <c r="G29" s="30">
        <v>12</v>
      </c>
      <c r="H29" s="30" t="s">
        <v>111</v>
      </c>
      <c r="I29" s="30" t="s">
        <v>111</v>
      </c>
      <c r="J29" s="30" t="s">
        <v>23</v>
      </c>
      <c r="K29" s="30" t="s">
        <v>39</v>
      </c>
      <c r="L29" s="32"/>
      <c r="M29" s="31"/>
      <c r="N29" s="31">
        <f t="shared" si="10"/>
        <v>182778.48</v>
      </c>
      <c r="O29" s="31">
        <f>L29*G29*12</f>
        <v>0</v>
      </c>
      <c r="P29" s="31"/>
      <c r="Q29" s="31">
        <f>N29*G29*12</f>
        <v>26320101.120000005</v>
      </c>
      <c r="R29" s="31">
        <f t="shared" si="11"/>
        <v>65800252.800000012</v>
      </c>
      <c r="S29" s="32" t="s">
        <v>40</v>
      </c>
      <c r="T29" s="29">
        <v>2.5</v>
      </c>
      <c r="U29" s="33"/>
      <c r="V29" s="33"/>
    </row>
    <row r="30" spans="1:22" s="8" customFormat="1" ht="41.25" customHeight="1" x14ac:dyDescent="0.25">
      <c r="A30" s="29">
        <v>10</v>
      </c>
      <c r="B30" s="30">
        <f>B27+1</f>
        <v>7095</v>
      </c>
      <c r="C30" s="30" t="s">
        <v>12</v>
      </c>
      <c r="D30" s="30" t="s">
        <v>109</v>
      </c>
      <c r="E30" s="30" t="s">
        <v>74</v>
      </c>
      <c r="F30" s="30" t="s">
        <v>15</v>
      </c>
      <c r="G30" s="30">
        <v>12</v>
      </c>
      <c r="H30" s="30">
        <v>7</v>
      </c>
      <c r="I30" s="30">
        <v>5</v>
      </c>
      <c r="J30" s="30" t="s">
        <v>23</v>
      </c>
      <c r="K30" s="30" t="s">
        <v>24</v>
      </c>
      <c r="L30" s="31">
        <f>(((9+(9*(14+167)%))+(21+(21*(14+0+0)%)))*17240)</f>
        <v>848725.20000000007</v>
      </c>
      <c r="M30" s="31">
        <f>(((9+(9*(14+167)%))+(21+(21*(14+50+20)%)))*17240)</f>
        <v>1102153.2</v>
      </c>
      <c r="N30" s="31">
        <v>0</v>
      </c>
      <c r="O30" s="31">
        <f>L30*H30*12</f>
        <v>71292916.800000012</v>
      </c>
      <c r="P30" s="31">
        <f>M30*I30*12</f>
        <v>66129192</v>
      </c>
      <c r="Q30" s="31">
        <f>O30+P30</f>
        <v>137422108.80000001</v>
      </c>
      <c r="R30" s="31">
        <f>Q30*T30</f>
        <v>343555272</v>
      </c>
      <c r="S30" s="32" t="s">
        <v>40</v>
      </c>
      <c r="T30" s="29">
        <v>2.5</v>
      </c>
      <c r="U30" s="33"/>
      <c r="V30" s="33"/>
    </row>
    <row r="31" spans="1:22" s="8" customFormat="1" ht="45.75" customHeight="1" x14ac:dyDescent="0.25">
      <c r="A31" s="29">
        <v>10</v>
      </c>
      <c r="B31" s="30">
        <f>B30</f>
        <v>7095</v>
      </c>
      <c r="C31" s="30" t="s">
        <v>19</v>
      </c>
      <c r="D31" s="30" t="s">
        <v>67</v>
      </c>
      <c r="E31" s="30" t="s">
        <v>74</v>
      </c>
      <c r="F31" s="30" t="s">
        <v>15</v>
      </c>
      <c r="G31" s="30">
        <v>12</v>
      </c>
      <c r="H31" s="30" t="s">
        <v>111</v>
      </c>
      <c r="I31" s="30" t="s">
        <v>111</v>
      </c>
      <c r="J31" s="30" t="s">
        <v>23</v>
      </c>
      <c r="K31" s="30" t="s">
        <v>24</v>
      </c>
      <c r="L31" s="32"/>
      <c r="M31" s="31"/>
      <c r="N31" s="31">
        <f t="shared" si="10"/>
        <v>182778.48</v>
      </c>
      <c r="O31" s="31">
        <f>L31*G31*12</f>
        <v>0</v>
      </c>
      <c r="P31" s="31"/>
      <c r="Q31" s="31">
        <f>N31*G31*12</f>
        <v>26320101.120000005</v>
      </c>
      <c r="R31" s="31">
        <f t="shared" ref="R31:R32" si="12">Q31*T31</f>
        <v>65800252.800000012</v>
      </c>
      <c r="S31" s="32" t="s">
        <v>40</v>
      </c>
      <c r="T31" s="29">
        <v>2.5</v>
      </c>
      <c r="U31" s="33"/>
      <c r="V31" s="33"/>
    </row>
    <row r="32" spans="1:22" s="8" customFormat="1" ht="39" customHeight="1" x14ac:dyDescent="0.25">
      <c r="A32" s="29">
        <v>10</v>
      </c>
      <c r="B32" s="30">
        <f>B30</f>
        <v>7095</v>
      </c>
      <c r="C32" s="30" t="s">
        <v>19</v>
      </c>
      <c r="D32" s="30" t="s">
        <v>68</v>
      </c>
      <c r="E32" s="30" t="s">
        <v>74</v>
      </c>
      <c r="F32" s="30" t="s">
        <v>15</v>
      </c>
      <c r="G32" s="30">
        <v>12</v>
      </c>
      <c r="H32" s="30" t="s">
        <v>111</v>
      </c>
      <c r="I32" s="30" t="s">
        <v>111</v>
      </c>
      <c r="J32" s="30" t="s">
        <v>23</v>
      </c>
      <c r="K32" s="30" t="s">
        <v>24</v>
      </c>
      <c r="L32" s="32"/>
      <c r="M32" s="31"/>
      <c r="N32" s="31">
        <f t="shared" si="10"/>
        <v>182778.48</v>
      </c>
      <c r="O32" s="31">
        <f>L32*G32*12</f>
        <v>0</v>
      </c>
      <c r="P32" s="31"/>
      <c r="Q32" s="31">
        <f>N32*G32*12</f>
        <v>26320101.120000005</v>
      </c>
      <c r="R32" s="31">
        <f t="shared" si="12"/>
        <v>65800252.800000012</v>
      </c>
      <c r="S32" s="32" t="s">
        <v>40</v>
      </c>
      <c r="T32" s="29">
        <v>2.5</v>
      </c>
      <c r="U32" s="33"/>
      <c r="V32" s="33"/>
    </row>
    <row r="33" spans="1:22" s="8" customFormat="1" ht="49.5" customHeight="1" x14ac:dyDescent="0.25">
      <c r="A33" s="29">
        <v>12</v>
      </c>
      <c r="B33" s="30">
        <f>B30+1</f>
        <v>7096</v>
      </c>
      <c r="C33" s="30" t="s">
        <v>12</v>
      </c>
      <c r="D33" s="30" t="s">
        <v>109</v>
      </c>
      <c r="E33" s="30" t="s">
        <v>118</v>
      </c>
      <c r="F33" s="30" t="s">
        <v>15</v>
      </c>
      <c r="G33" s="30">
        <v>12</v>
      </c>
      <c r="H33" s="30">
        <v>7</v>
      </c>
      <c r="I33" s="30">
        <v>5</v>
      </c>
      <c r="J33" s="30" t="s">
        <v>23</v>
      </c>
      <c r="K33" s="30" t="s">
        <v>17</v>
      </c>
      <c r="L33" s="31">
        <f>(((9+(9*(56+167)%))+(21+(21*(56+0+0)%)))*17240)</f>
        <v>1065949.2000000002</v>
      </c>
      <c r="M33" s="31">
        <f>(((9+(9*(56+167)%))+(21+(21*(56+50+20)%)))*17240)</f>
        <v>1319377.2</v>
      </c>
      <c r="N33" s="34">
        <v>0</v>
      </c>
      <c r="O33" s="34">
        <f>L33*H33*12</f>
        <v>89539732.800000012</v>
      </c>
      <c r="P33" s="34">
        <f>M33*I33*12</f>
        <v>79162632</v>
      </c>
      <c r="Q33" s="34">
        <f>O33+P33</f>
        <v>168702364.80000001</v>
      </c>
      <c r="R33" s="31">
        <f t="shared" si="8"/>
        <v>337404729.60000002</v>
      </c>
      <c r="S33" s="32" t="s">
        <v>31</v>
      </c>
      <c r="T33" s="29">
        <v>2</v>
      </c>
      <c r="U33" s="33"/>
      <c r="V33" s="33"/>
    </row>
    <row r="34" spans="1:22" s="8" customFormat="1" ht="40.5" customHeight="1" x14ac:dyDescent="0.25">
      <c r="A34" s="29">
        <v>12</v>
      </c>
      <c r="B34" s="30">
        <f>B33</f>
        <v>7096</v>
      </c>
      <c r="C34" s="30" t="s">
        <v>19</v>
      </c>
      <c r="D34" s="30" t="s">
        <v>67</v>
      </c>
      <c r="E34" s="30" t="s">
        <v>118</v>
      </c>
      <c r="F34" s="30" t="s">
        <v>15</v>
      </c>
      <c r="G34" s="30">
        <v>12</v>
      </c>
      <c r="H34" s="30" t="s">
        <v>111</v>
      </c>
      <c r="I34" s="30" t="s">
        <v>111</v>
      </c>
      <c r="J34" s="30" t="s">
        <v>23</v>
      </c>
      <c r="K34" s="30" t="s">
        <v>17</v>
      </c>
      <c r="L34" s="35"/>
      <c r="M34" s="34"/>
      <c r="N34" s="31">
        <f>((9.3*56%)+9.3)*17240</f>
        <v>250117.92000000004</v>
      </c>
      <c r="O34" s="34">
        <f>L34*G34*12</f>
        <v>0</v>
      </c>
      <c r="P34" s="34"/>
      <c r="Q34" s="34">
        <f>N34*G34*12</f>
        <v>36016980.480000004</v>
      </c>
      <c r="R34" s="31">
        <f t="shared" si="8"/>
        <v>72033960.960000008</v>
      </c>
      <c r="S34" s="32" t="s">
        <v>31</v>
      </c>
      <c r="T34" s="29">
        <v>2</v>
      </c>
      <c r="U34" s="33"/>
      <c r="V34" s="33"/>
    </row>
    <row r="35" spans="1:22" s="8" customFormat="1" ht="51.75" customHeight="1" x14ac:dyDescent="0.25">
      <c r="A35" s="29">
        <v>12</v>
      </c>
      <c r="B35" s="30">
        <f>B33</f>
        <v>7096</v>
      </c>
      <c r="C35" s="30" t="s">
        <v>19</v>
      </c>
      <c r="D35" s="30" t="s">
        <v>68</v>
      </c>
      <c r="E35" s="30" t="s">
        <v>118</v>
      </c>
      <c r="F35" s="30" t="s">
        <v>15</v>
      </c>
      <c r="G35" s="30">
        <v>12</v>
      </c>
      <c r="H35" s="30" t="s">
        <v>111</v>
      </c>
      <c r="I35" s="30" t="s">
        <v>111</v>
      </c>
      <c r="J35" s="30" t="s">
        <v>23</v>
      </c>
      <c r="K35" s="30" t="s">
        <v>17</v>
      </c>
      <c r="L35" s="35"/>
      <c r="M35" s="34"/>
      <c r="N35" s="31">
        <f>((9.3*56%)+9.3)*17240</f>
        <v>250117.92000000004</v>
      </c>
      <c r="O35" s="34">
        <f>L35*G35*12</f>
        <v>0</v>
      </c>
      <c r="P35" s="34"/>
      <c r="Q35" s="34">
        <f>N35*G35*12</f>
        <v>36016980.480000004</v>
      </c>
      <c r="R35" s="31">
        <f t="shared" si="8"/>
        <v>72033960.960000008</v>
      </c>
      <c r="S35" s="32" t="s">
        <v>31</v>
      </c>
      <c r="T35" s="29">
        <v>2</v>
      </c>
      <c r="U35" s="33"/>
      <c r="V35" s="33"/>
    </row>
    <row r="36" spans="1:22" s="8" customFormat="1" ht="45" customHeight="1" x14ac:dyDescent="0.25">
      <c r="A36" s="29">
        <v>13</v>
      </c>
      <c r="B36" s="30">
        <f>B33+1</f>
        <v>7097</v>
      </c>
      <c r="C36" s="30" t="s">
        <v>12</v>
      </c>
      <c r="D36" s="30" t="s">
        <v>109</v>
      </c>
      <c r="E36" s="30" t="s">
        <v>119</v>
      </c>
      <c r="F36" s="30" t="s">
        <v>15</v>
      </c>
      <c r="G36" s="30">
        <v>12</v>
      </c>
      <c r="H36" s="30">
        <v>7</v>
      </c>
      <c r="I36" s="30">
        <v>5</v>
      </c>
      <c r="J36" s="30" t="s">
        <v>23</v>
      </c>
      <c r="K36" s="30" t="s">
        <v>24</v>
      </c>
      <c r="L36" s="31">
        <f>(((9+(9*(0+167)%))+(21+(21*(0+0+0)%)))*17240)</f>
        <v>776317.20000000007</v>
      </c>
      <c r="M36" s="31">
        <f>(((9+(9*(0+167)%))+(21+(21*(0+50+20)%)))*17240)</f>
        <v>1029745.2000000001</v>
      </c>
      <c r="N36" s="31">
        <v>0</v>
      </c>
      <c r="O36" s="31">
        <f>L36*H36*12</f>
        <v>65210644.800000004</v>
      </c>
      <c r="P36" s="31">
        <f>M36*I36*12</f>
        <v>61784712</v>
      </c>
      <c r="Q36" s="31">
        <f>O36+P36</f>
        <v>126995356.80000001</v>
      </c>
      <c r="R36" s="31">
        <f>Q36*T36</f>
        <v>634976784</v>
      </c>
      <c r="S36" s="32" t="s">
        <v>86</v>
      </c>
      <c r="T36" s="29">
        <v>5</v>
      </c>
      <c r="U36" s="33"/>
      <c r="V36" s="33"/>
    </row>
    <row r="37" spans="1:22" s="8" customFormat="1" ht="49.5" customHeight="1" x14ac:dyDescent="0.25">
      <c r="A37" s="29">
        <v>13</v>
      </c>
      <c r="B37" s="30">
        <f>B36</f>
        <v>7097</v>
      </c>
      <c r="C37" s="30" t="s">
        <v>19</v>
      </c>
      <c r="D37" s="30" t="s">
        <v>67</v>
      </c>
      <c r="E37" s="30" t="s">
        <v>119</v>
      </c>
      <c r="F37" s="30" t="s">
        <v>15</v>
      </c>
      <c r="G37" s="30">
        <v>12</v>
      </c>
      <c r="H37" s="30" t="s">
        <v>111</v>
      </c>
      <c r="I37" s="30" t="s">
        <v>111</v>
      </c>
      <c r="J37" s="30" t="s">
        <v>23</v>
      </c>
      <c r="K37" s="30" t="s">
        <v>24</v>
      </c>
      <c r="L37" s="32"/>
      <c r="M37" s="31"/>
      <c r="N37" s="31">
        <f>((9.3*0%)+9.3)*17240</f>
        <v>160332</v>
      </c>
      <c r="O37" s="31">
        <f>L37*G37*12</f>
        <v>0</v>
      </c>
      <c r="P37" s="31"/>
      <c r="Q37" s="31">
        <f>N37*G37*12</f>
        <v>23087808</v>
      </c>
      <c r="R37" s="31">
        <f>Q37*T37</f>
        <v>115439040</v>
      </c>
      <c r="S37" s="32" t="s">
        <v>86</v>
      </c>
      <c r="T37" s="29">
        <v>5</v>
      </c>
      <c r="U37" s="33"/>
      <c r="V37" s="33"/>
    </row>
    <row r="38" spans="1:22" s="8" customFormat="1" ht="50.25" customHeight="1" x14ac:dyDescent="0.25">
      <c r="A38" s="29">
        <v>13</v>
      </c>
      <c r="B38" s="30">
        <f>B36</f>
        <v>7097</v>
      </c>
      <c r="C38" s="30" t="s">
        <v>19</v>
      </c>
      <c r="D38" s="30" t="s">
        <v>68</v>
      </c>
      <c r="E38" s="30" t="s">
        <v>119</v>
      </c>
      <c r="F38" s="30" t="s">
        <v>15</v>
      </c>
      <c r="G38" s="30">
        <v>12</v>
      </c>
      <c r="H38" s="30" t="s">
        <v>111</v>
      </c>
      <c r="I38" s="30" t="s">
        <v>111</v>
      </c>
      <c r="J38" s="30" t="s">
        <v>23</v>
      </c>
      <c r="K38" s="30" t="s">
        <v>24</v>
      </c>
      <c r="L38" s="32"/>
      <c r="M38" s="31"/>
      <c r="N38" s="31">
        <f>((9.3*0%)+9.3)*17240</f>
        <v>160332</v>
      </c>
      <c r="O38" s="31">
        <f>L38*G38*12</f>
        <v>0</v>
      </c>
      <c r="P38" s="31"/>
      <c r="Q38" s="31">
        <f>N38*G38*12</f>
        <v>23087808</v>
      </c>
      <c r="R38" s="31">
        <f>Q38*T38</f>
        <v>115439040</v>
      </c>
      <c r="S38" s="32" t="s">
        <v>86</v>
      </c>
      <c r="T38" s="29">
        <v>5</v>
      </c>
      <c r="U38" s="33"/>
      <c r="V38" s="33"/>
    </row>
    <row r="39" spans="1:22" s="8" customFormat="1" ht="45" customHeight="1" x14ac:dyDescent="0.25">
      <c r="A39" s="29">
        <v>14</v>
      </c>
      <c r="B39" s="30">
        <f>B36+1</f>
        <v>7098</v>
      </c>
      <c r="C39" s="30" t="s">
        <v>12</v>
      </c>
      <c r="D39" s="30" t="s">
        <v>109</v>
      </c>
      <c r="E39" s="30" t="s">
        <v>90</v>
      </c>
      <c r="F39" s="30" t="s">
        <v>15</v>
      </c>
      <c r="G39" s="30">
        <v>12</v>
      </c>
      <c r="H39" s="30">
        <v>7</v>
      </c>
      <c r="I39" s="30">
        <v>5</v>
      </c>
      <c r="J39" s="30" t="s">
        <v>23</v>
      </c>
      <c r="K39" s="30" t="s">
        <v>39</v>
      </c>
      <c r="L39" s="31">
        <f>(((9+(9*(14+167)%))+(21+(21*(14+0+0)%)))*17240)</f>
        <v>848725.20000000007</v>
      </c>
      <c r="M39" s="31">
        <f>(((9+(9*(14+167)%))+(21+(21*(14+50+20)%)))*17240)</f>
        <v>1102153.2</v>
      </c>
      <c r="N39" s="31">
        <v>0</v>
      </c>
      <c r="O39" s="31">
        <f>L39*H39*12</f>
        <v>71292916.800000012</v>
      </c>
      <c r="P39" s="31">
        <f>M39*I39*12</f>
        <v>66129192</v>
      </c>
      <c r="Q39" s="31">
        <f>O39+P39</f>
        <v>137422108.80000001</v>
      </c>
      <c r="R39" s="31">
        <f>Q39*T39</f>
        <v>343555272</v>
      </c>
      <c r="S39" s="32" t="s">
        <v>40</v>
      </c>
      <c r="T39" s="29">
        <v>2.5</v>
      </c>
      <c r="U39" s="33"/>
      <c r="V39" s="33"/>
    </row>
    <row r="40" spans="1:22" s="8" customFormat="1" ht="32.25" customHeight="1" x14ac:dyDescent="0.25">
      <c r="A40" s="29">
        <v>14</v>
      </c>
      <c r="B40" s="30">
        <f>B39</f>
        <v>7098</v>
      </c>
      <c r="C40" s="30" t="s">
        <v>19</v>
      </c>
      <c r="D40" s="30" t="s">
        <v>67</v>
      </c>
      <c r="E40" s="30" t="s">
        <v>90</v>
      </c>
      <c r="F40" s="30" t="s">
        <v>15</v>
      </c>
      <c r="G40" s="30">
        <v>12</v>
      </c>
      <c r="H40" s="30" t="s">
        <v>111</v>
      </c>
      <c r="I40" s="30" t="s">
        <v>111</v>
      </c>
      <c r="J40" s="30" t="s">
        <v>23</v>
      </c>
      <c r="K40" s="30" t="s">
        <v>39</v>
      </c>
      <c r="L40" s="32"/>
      <c r="M40" s="31"/>
      <c r="N40" s="31">
        <f t="shared" ref="N40:N44" si="13">((9.3*14%)+9.3)*17240</f>
        <v>182778.48</v>
      </c>
      <c r="O40" s="31">
        <f>L40*G40*12</f>
        <v>0</v>
      </c>
      <c r="P40" s="31"/>
      <c r="Q40" s="31">
        <f>N40*G40*12</f>
        <v>26320101.120000005</v>
      </c>
      <c r="R40" s="31">
        <f t="shared" ref="R40:R41" si="14">Q40*T40</f>
        <v>65800252.800000012</v>
      </c>
      <c r="S40" s="32" t="s">
        <v>40</v>
      </c>
      <c r="T40" s="29">
        <v>2.5</v>
      </c>
      <c r="U40" s="33"/>
      <c r="V40" s="33"/>
    </row>
    <row r="41" spans="1:22" s="8" customFormat="1" ht="43.5" customHeight="1" x14ac:dyDescent="0.25">
      <c r="A41" s="29">
        <v>14</v>
      </c>
      <c r="B41" s="30">
        <f>B39</f>
        <v>7098</v>
      </c>
      <c r="C41" s="30" t="s">
        <v>19</v>
      </c>
      <c r="D41" s="30" t="s">
        <v>68</v>
      </c>
      <c r="E41" s="30" t="s">
        <v>90</v>
      </c>
      <c r="F41" s="30" t="s">
        <v>15</v>
      </c>
      <c r="G41" s="30">
        <v>12</v>
      </c>
      <c r="H41" s="30" t="s">
        <v>111</v>
      </c>
      <c r="I41" s="30" t="s">
        <v>111</v>
      </c>
      <c r="J41" s="30" t="s">
        <v>23</v>
      </c>
      <c r="K41" s="30" t="s">
        <v>39</v>
      </c>
      <c r="L41" s="32"/>
      <c r="M41" s="31"/>
      <c r="N41" s="31">
        <f t="shared" si="13"/>
        <v>182778.48</v>
      </c>
      <c r="O41" s="31">
        <f>L41*G41*12</f>
        <v>0</v>
      </c>
      <c r="P41" s="31"/>
      <c r="Q41" s="31">
        <f>N41*G41*12</f>
        <v>26320101.120000005</v>
      </c>
      <c r="R41" s="31">
        <f t="shared" si="14"/>
        <v>65800252.800000012</v>
      </c>
      <c r="S41" s="32" t="s">
        <v>40</v>
      </c>
      <c r="T41" s="29">
        <v>2.5</v>
      </c>
      <c r="U41" s="33"/>
      <c r="V41" s="33"/>
    </row>
    <row r="42" spans="1:22" s="8" customFormat="1" ht="41.25" customHeight="1" x14ac:dyDescent="0.25">
      <c r="A42" s="29">
        <v>16</v>
      </c>
      <c r="B42" s="30">
        <f>B39+1</f>
        <v>7099</v>
      </c>
      <c r="C42" s="30" t="s">
        <v>12</v>
      </c>
      <c r="D42" s="30" t="s">
        <v>109</v>
      </c>
      <c r="E42" s="30" t="s">
        <v>91</v>
      </c>
      <c r="F42" s="30" t="s">
        <v>15</v>
      </c>
      <c r="G42" s="30">
        <v>12</v>
      </c>
      <c r="H42" s="30">
        <v>7</v>
      </c>
      <c r="I42" s="30">
        <v>5</v>
      </c>
      <c r="J42" s="30" t="s">
        <v>23</v>
      </c>
      <c r="K42" s="30" t="s">
        <v>24</v>
      </c>
      <c r="L42" s="31">
        <f>(((9+(9*(14+167)%))+(21+(21*(14+0+0)%)))*17240)</f>
        <v>848725.20000000007</v>
      </c>
      <c r="M42" s="31">
        <f>(((9+(9*(14+167)%))+(21+(21*(14+50+20)%)))*17240)</f>
        <v>1102153.2</v>
      </c>
      <c r="N42" s="31">
        <v>0</v>
      </c>
      <c r="O42" s="31">
        <f>L42*H42*12</f>
        <v>71292916.800000012</v>
      </c>
      <c r="P42" s="31">
        <f>M42*I42*12</f>
        <v>66129192</v>
      </c>
      <c r="Q42" s="31">
        <f>O42+P42</f>
        <v>137422108.80000001</v>
      </c>
      <c r="R42" s="31">
        <f>Q42*T42</f>
        <v>343555272</v>
      </c>
      <c r="S42" s="32" t="s">
        <v>40</v>
      </c>
      <c r="T42" s="29">
        <v>2.5</v>
      </c>
      <c r="U42" s="33"/>
      <c r="V42" s="33"/>
    </row>
    <row r="43" spans="1:22" s="8" customFormat="1" ht="42.75" customHeight="1" x14ac:dyDescent="0.25">
      <c r="A43" s="29">
        <v>16</v>
      </c>
      <c r="B43" s="30">
        <f>B42</f>
        <v>7099</v>
      </c>
      <c r="C43" s="30" t="s">
        <v>19</v>
      </c>
      <c r="D43" s="30" t="s">
        <v>67</v>
      </c>
      <c r="E43" s="30" t="s">
        <v>91</v>
      </c>
      <c r="F43" s="30" t="s">
        <v>15</v>
      </c>
      <c r="G43" s="30">
        <v>12</v>
      </c>
      <c r="H43" s="30" t="s">
        <v>111</v>
      </c>
      <c r="I43" s="30" t="s">
        <v>111</v>
      </c>
      <c r="J43" s="30" t="s">
        <v>23</v>
      </c>
      <c r="K43" s="30" t="s">
        <v>24</v>
      </c>
      <c r="L43" s="32"/>
      <c r="M43" s="31"/>
      <c r="N43" s="31">
        <f t="shared" si="13"/>
        <v>182778.48</v>
      </c>
      <c r="O43" s="31">
        <f>L43*G43*12</f>
        <v>0</v>
      </c>
      <c r="P43" s="31"/>
      <c r="Q43" s="31">
        <f>N43*G43*12</f>
        <v>26320101.120000005</v>
      </c>
      <c r="R43" s="31">
        <f t="shared" ref="R43:R44" si="15">Q43*T43</f>
        <v>65800252.800000012</v>
      </c>
      <c r="S43" s="32" t="s">
        <v>40</v>
      </c>
      <c r="T43" s="29">
        <v>2.5</v>
      </c>
      <c r="U43" s="33"/>
      <c r="V43" s="33"/>
    </row>
    <row r="44" spans="1:22" s="8" customFormat="1" ht="45.75" customHeight="1" x14ac:dyDescent="0.25">
      <c r="A44" s="29">
        <v>16</v>
      </c>
      <c r="B44" s="30">
        <f>B42</f>
        <v>7099</v>
      </c>
      <c r="C44" s="30" t="s">
        <v>19</v>
      </c>
      <c r="D44" s="30" t="s">
        <v>68</v>
      </c>
      <c r="E44" s="30" t="s">
        <v>91</v>
      </c>
      <c r="F44" s="30" t="s">
        <v>15</v>
      </c>
      <c r="G44" s="30">
        <v>12</v>
      </c>
      <c r="H44" s="30" t="s">
        <v>111</v>
      </c>
      <c r="I44" s="30" t="s">
        <v>111</v>
      </c>
      <c r="J44" s="30" t="s">
        <v>23</v>
      </c>
      <c r="K44" s="30" t="s">
        <v>24</v>
      </c>
      <c r="L44" s="32"/>
      <c r="M44" s="31"/>
      <c r="N44" s="31">
        <f t="shared" si="13"/>
        <v>182778.48</v>
      </c>
      <c r="O44" s="31">
        <f>L44*G44*12</f>
        <v>0</v>
      </c>
      <c r="P44" s="31"/>
      <c r="Q44" s="31">
        <f>N44*G44*12</f>
        <v>26320101.120000005</v>
      </c>
      <c r="R44" s="31">
        <f t="shared" si="15"/>
        <v>65800252.800000012</v>
      </c>
      <c r="S44" s="32" t="s">
        <v>40</v>
      </c>
      <c r="T44" s="29">
        <v>2.5</v>
      </c>
      <c r="U44" s="33"/>
      <c r="V44" s="33"/>
    </row>
    <row r="45" spans="1:22" ht="18.75" customHeight="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/>
      <c r="R45" s="7"/>
      <c r="S45" s="36"/>
      <c r="T45" s="7"/>
      <c r="U45" s="7"/>
      <c r="V45" s="7"/>
    </row>
    <row r="46" spans="1:22" ht="18.75" customHeight="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3"/>
      <c r="R46" s="7"/>
      <c r="S46" s="36"/>
      <c r="T46" s="7"/>
      <c r="U46" s="7"/>
      <c r="V46" s="7"/>
    </row>
    <row r="47" spans="1:22" ht="18.75" customHeight="1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3"/>
      <c r="R47" s="7"/>
      <c r="S47" s="36"/>
      <c r="T47" s="7"/>
      <c r="U47" s="7"/>
      <c r="V47" s="7"/>
    </row>
    <row r="48" spans="1:22" ht="18.75" customHeight="1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3"/>
      <c r="R48" s="7"/>
      <c r="S48" s="36"/>
      <c r="T48" s="7"/>
      <c r="U48" s="7"/>
      <c r="V48" s="7"/>
    </row>
    <row r="49" spans="2:22" ht="18.75" customHeight="1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3"/>
      <c r="R49" s="7"/>
      <c r="S49" s="36"/>
      <c r="T49" s="7"/>
      <c r="U49" s="7"/>
      <c r="V49" s="7"/>
    </row>
  </sheetData>
  <autoFilter ref="A2:T44" xr:uid="{00000000-0009-0000-0000-000001000000}"/>
  <mergeCells count="1">
    <mergeCell ref="A1:C1"/>
  </mergeCells>
  <pageMargins left="0.7" right="0.7" top="0.75" bottom="0.75" header="0.3" footer="0.3"/>
  <pageSetup paperSize="14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BD0EFDBC9B3A47A285034A32BC1420" ma:contentTypeVersion="8" ma:contentTypeDescription="Crear nuevo documento." ma:contentTypeScope="" ma:versionID="d4f67069af1cbffd173c471a57584f03">
  <xsd:schema xmlns:xsd="http://www.w3.org/2001/XMLSchema" xmlns:xs="http://www.w3.org/2001/XMLSchema" xmlns:p="http://schemas.microsoft.com/office/2006/metadata/properties" xmlns:ns2="5abe0c6b-1b6f-4662-ac98-bf4479006dbb" xmlns:ns3="f7ff8d7f-940f-4cc2-af82-4ba53a69da55" targetNamespace="http://schemas.microsoft.com/office/2006/metadata/properties" ma:root="true" ma:fieldsID="78e59fdfe173f1f493b8e34c25580e86" ns2:_="" ns3:_="">
    <xsd:import namespace="5abe0c6b-1b6f-4662-ac98-bf4479006dbb"/>
    <xsd:import namespace="f7ff8d7f-940f-4cc2-af82-4ba53a69d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e0c6b-1b6f-4662-ac98-bf4479006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8d7f-940f-4cc2-af82-4ba53a69d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48293-EDF2-41CC-9C46-415DAF2DC1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B6387-BED6-47AB-89B7-A6DD3F9DD0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F6FEB5-4883-492F-806E-5BEEA68EA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be0c6b-1b6f-4662-ac98-bf4479006dbb"/>
    <ds:schemaRef ds:uri="f7ff8d7f-940f-4cc2-af82-4ba53a69d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N°1 REM-RAM-RLP-PER RDS-P</vt:lpstr>
      <vt:lpstr>ANEXO N°1 RVA-RVT-PRE-PPE</vt:lpstr>
      <vt:lpstr>'ANEXO N°1 REM-RAM-RLP-PER RDS-P'!Títulos_a_imprimir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Santis Novoa</dc:creator>
  <cp:keywords/>
  <dc:description/>
  <cp:lastModifiedBy>Ana Maria Gonzalez</cp:lastModifiedBy>
  <cp:revision/>
  <dcterms:created xsi:type="dcterms:W3CDTF">2020-11-19T21:56:34Z</dcterms:created>
  <dcterms:modified xsi:type="dcterms:W3CDTF">2021-06-29T15:57:21Z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0x0101006BBD0EFDBC9B3A47A285034A32BC1420</vt:lpwstr>
  </property>
</Properties>
</file>