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gonzalez\Desktop\Anita\Ley 20032\Autoriza Convocatoria y otros\2019\definitivos\"/>
    </mc:Choice>
  </mc:AlternateContent>
  <bookViews>
    <workbookView xWindow="0" yWindow="0" windowWidth="28800" windowHeight="11100"/>
  </bookViews>
  <sheets>
    <sheet name="ANEXO Nº1 SUSTITUIDO" sheetId="9" r:id="rId1"/>
    <sheet name="Hoja3" sheetId="3" state="hidden" r:id="rId2"/>
    <sheet name="Hoja4" sheetId="4" state="hidden" r:id="rId3"/>
    <sheet name="Hoja2" sheetId="2" state="hidden" r:id="rId4"/>
  </sheets>
  <definedNames>
    <definedName name="_xlnm._FilterDatabase" localSheetId="0" hidden="1">'ANEXO Nº1 SUSTITUIDO'!$A$3:$N$181</definedName>
  </definedNames>
  <calcPr calcId="162913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4" i="9" l="1"/>
  <c r="L84" i="9" s="1"/>
  <c r="M84" i="9" s="1"/>
  <c r="K80" i="9"/>
  <c r="L80" i="9" s="1"/>
  <c r="M80" i="9" s="1"/>
  <c r="K135" i="9" l="1"/>
  <c r="Z192" i="2" l="1"/>
  <c r="M192" i="2"/>
  <c r="L192" i="2"/>
  <c r="K192" i="2"/>
  <c r="B192" i="2"/>
  <c r="M191" i="2"/>
  <c r="L191" i="2"/>
  <c r="K191" i="2"/>
  <c r="B191" i="2"/>
  <c r="M190" i="2"/>
  <c r="L190" i="2"/>
  <c r="K190" i="2"/>
  <c r="B190" i="2"/>
  <c r="Z189" i="2"/>
  <c r="M189" i="2"/>
  <c r="L189" i="2"/>
  <c r="K189" i="2"/>
  <c r="B189" i="2"/>
  <c r="M188" i="2"/>
  <c r="L188" i="2"/>
  <c r="K188" i="2"/>
  <c r="B188" i="2"/>
  <c r="M187" i="2"/>
  <c r="L187" i="2"/>
  <c r="K187" i="2"/>
  <c r="B187" i="2"/>
  <c r="M186" i="2"/>
  <c r="L186" i="2"/>
  <c r="K186" i="2"/>
  <c r="M185" i="2"/>
  <c r="L185" i="2"/>
  <c r="K185" i="2"/>
  <c r="B185" i="2"/>
  <c r="Z184" i="2"/>
  <c r="M184" i="2"/>
  <c r="L184" i="2"/>
  <c r="K184" i="2"/>
  <c r="B184" i="2"/>
  <c r="M183" i="2"/>
  <c r="L183" i="2"/>
  <c r="K183" i="2"/>
  <c r="M182" i="2"/>
  <c r="L182" i="2"/>
  <c r="K182" i="2"/>
  <c r="B182" i="2"/>
  <c r="M181" i="2"/>
  <c r="L181" i="2"/>
  <c r="K181" i="2"/>
  <c r="Z180" i="2"/>
  <c r="M180" i="2"/>
  <c r="L180" i="2"/>
  <c r="K180" i="2"/>
  <c r="B180" i="2"/>
  <c r="M179" i="2"/>
  <c r="L179" i="2"/>
  <c r="K179" i="2"/>
  <c r="B179" i="2"/>
  <c r="Z178" i="2"/>
  <c r="M178" i="2"/>
  <c r="L178" i="2"/>
  <c r="K178" i="2"/>
  <c r="B178" i="2"/>
  <c r="M177" i="2"/>
  <c r="L177" i="2"/>
  <c r="K177" i="2"/>
  <c r="M176" i="2"/>
  <c r="L176" i="2"/>
  <c r="K176" i="2"/>
  <c r="B176" i="2"/>
  <c r="M175" i="2"/>
  <c r="L175" i="2"/>
  <c r="K175" i="2"/>
  <c r="M174" i="2"/>
  <c r="L174" i="2"/>
  <c r="K174" i="2"/>
  <c r="B174" i="2"/>
  <c r="Z173" i="2"/>
  <c r="M173" i="2"/>
  <c r="L173" i="2"/>
  <c r="K173" i="2"/>
  <c r="M172" i="2"/>
  <c r="L172" i="2"/>
  <c r="K172" i="2"/>
  <c r="B172" i="2"/>
  <c r="Z171" i="2"/>
  <c r="M171" i="2"/>
  <c r="L171" i="2"/>
  <c r="K171" i="2"/>
  <c r="Z170" i="2"/>
  <c r="M170" i="2"/>
  <c r="L170" i="2"/>
  <c r="K170" i="2"/>
  <c r="B170" i="2"/>
  <c r="Z169" i="2"/>
  <c r="M169" i="2"/>
  <c r="L169" i="2"/>
  <c r="K169" i="2"/>
  <c r="Z168" i="2"/>
  <c r="M168" i="2"/>
  <c r="L168" i="2"/>
  <c r="K168" i="2"/>
  <c r="M167" i="2"/>
  <c r="L167" i="2"/>
  <c r="K167" i="2"/>
  <c r="B167" i="2"/>
  <c r="M166" i="2"/>
  <c r="L166" i="2"/>
  <c r="K166" i="2"/>
  <c r="B166" i="2"/>
  <c r="M165" i="2"/>
  <c r="L165" i="2"/>
  <c r="K165" i="2"/>
  <c r="Z164" i="2"/>
  <c r="M164" i="2"/>
  <c r="L164" i="2"/>
  <c r="K164" i="2"/>
  <c r="B164" i="2"/>
  <c r="Z163" i="2"/>
  <c r="M163" i="2"/>
  <c r="L163" i="2"/>
  <c r="K163" i="2"/>
  <c r="Z161" i="2"/>
  <c r="Z160" i="2"/>
  <c r="M160" i="2"/>
  <c r="L160" i="2"/>
  <c r="K160" i="2"/>
  <c r="B160" i="2"/>
  <c r="Z159" i="2"/>
  <c r="M159" i="2"/>
  <c r="L159" i="2"/>
  <c r="K159" i="2"/>
  <c r="Z158" i="2"/>
  <c r="M158" i="2"/>
  <c r="L158" i="2"/>
  <c r="K158" i="2"/>
  <c r="B158" i="2"/>
  <c r="Z157" i="2"/>
  <c r="M157" i="2"/>
  <c r="L157" i="2"/>
  <c r="K157" i="2"/>
  <c r="Z156" i="2"/>
  <c r="M156" i="2"/>
  <c r="L156" i="2"/>
  <c r="K156" i="2"/>
  <c r="B156" i="2"/>
  <c r="Z155" i="2"/>
  <c r="M155" i="2"/>
  <c r="L155" i="2"/>
  <c r="K155" i="2"/>
  <c r="Z154" i="2"/>
  <c r="M154" i="2"/>
  <c r="L154" i="2"/>
  <c r="K154" i="2"/>
  <c r="B154" i="2"/>
  <c r="Z153" i="2"/>
  <c r="M153" i="2"/>
  <c r="L153" i="2"/>
  <c r="K153" i="2"/>
  <c r="Z152" i="2"/>
  <c r="M152" i="2"/>
  <c r="L152" i="2"/>
  <c r="K152" i="2"/>
  <c r="B152" i="2"/>
  <c r="Z151" i="2"/>
  <c r="M151" i="2"/>
  <c r="L151" i="2"/>
  <c r="K151" i="2"/>
  <c r="Z150" i="2"/>
  <c r="M150" i="2"/>
  <c r="L150" i="2"/>
  <c r="K150" i="2"/>
  <c r="Z149" i="2"/>
  <c r="M149" i="2"/>
  <c r="L149" i="2"/>
  <c r="K149" i="2"/>
  <c r="Z148" i="2"/>
  <c r="M148" i="2"/>
  <c r="L148" i="2"/>
  <c r="K148" i="2"/>
  <c r="B148" i="2"/>
  <c r="Z147" i="2"/>
  <c r="M147" i="2"/>
  <c r="L147" i="2"/>
  <c r="K147" i="2"/>
  <c r="Z146" i="2"/>
  <c r="M146" i="2"/>
  <c r="L146" i="2"/>
  <c r="K146" i="2"/>
  <c r="Z145" i="2"/>
  <c r="M145" i="2"/>
  <c r="L145" i="2"/>
  <c r="K145" i="2"/>
  <c r="B145" i="2"/>
  <c r="Z144" i="2"/>
  <c r="M144" i="2"/>
  <c r="L144" i="2"/>
  <c r="K144" i="2"/>
  <c r="Z143" i="2"/>
  <c r="M143" i="2"/>
  <c r="L143" i="2"/>
  <c r="K143" i="2"/>
  <c r="B143" i="2"/>
  <c r="Z142" i="2"/>
  <c r="M142" i="2"/>
  <c r="L142" i="2"/>
  <c r="K142" i="2"/>
  <c r="Z141" i="2"/>
  <c r="M141" i="2"/>
  <c r="L141" i="2"/>
  <c r="K141" i="2"/>
  <c r="B141" i="2"/>
  <c r="Z140" i="2"/>
  <c r="M140" i="2"/>
  <c r="L140" i="2"/>
  <c r="K140" i="2"/>
  <c r="Z139" i="2"/>
  <c r="M139" i="2"/>
  <c r="L139" i="2"/>
  <c r="K139" i="2"/>
  <c r="B139" i="2"/>
  <c r="Z138" i="2"/>
  <c r="M138" i="2"/>
  <c r="L138" i="2"/>
  <c r="K138" i="2"/>
  <c r="Z137" i="2"/>
  <c r="M137" i="2"/>
  <c r="L137" i="2"/>
  <c r="K137" i="2"/>
  <c r="B137" i="2"/>
  <c r="Z136" i="2"/>
  <c r="M136" i="2"/>
  <c r="L136" i="2"/>
  <c r="K136" i="2"/>
  <c r="Z135" i="2"/>
  <c r="M135" i="2"/>
  <c r="L135" i="2"/>
  <c r="K135" i="2"/>
  <c r="B135" i="2"/>
  <c r="M134" i="2"/>
  <c r="L134" i="2"/>
  <c r="K134" i="2"/>
  <c r="B134" i="2"/>
  <c r="M133" i="2"/>
  <c r="L133" i="2"/>
  <c r="K133" i="2"/>
  <c r="B133" i="2"/>
  <c r="M132" i="2"/>
  <c r="L132" i="2"/>
  <c r="K132" i="2"/>
  <c r="M131" i="2"/>
  <c r="L131" i="2"/>
  <c r="K131" i="2"/>
  <c r="B131" i="2"/>
  <c r="M130" i="2"/>
  <c r="L130" i="2"/>
  <c r="K130" i="2"/>
  <c r="B130" i="2"/>
  <c r="M129" i="2"/>
  <c r="L129" i="2"/>
  <c r="K129" i="2"/>
  <c r="M128" i="2"/>
  <c r="L128" i="2"/>
  <c r="K128" i="2"/>
  <c r="B128" i="2"/>
  <c r="M127" i="2"/>
  <c r="L127" i="2"/>
  <c r="K127" i="2"/>
  <c r="B127" i="2"/>
  <c r="M126" i="2"/>
  <c r="L126" i="2"/>
  <c r="K126" i="2"/>
  <c r="M125" i="2"/>
  <c r="L125" i="2"/>
  <c r="K125" i="2"/>
  <c r="B125" i="2"/>
  <c r="M124" i="2"/>
  <c r="L124" i="2"/>
  <c r="K124" i="2"/>
  <c r="B124" i="2"/>
  <c r="Z123" i="2"/>
  <c r="M123" i="2"/>
  <c r="L123" i="2"/>
  <c r="K123" i="2"/>
  <c r="B123" i="2"/>
  <c r="M122" i="2"/>
  <c r="L122" i="2"/>
  <c r="K122" i="2"/>
  <c r="Z121" i="2"/>
  <c r="M121" i="2"/>
  <c r="L121" i="2"/>
  <c r="K121" i="2"/>
  <c r="B121" i="2"/>
  <c r="M120" i="2"/>
  <c r="L120" i="2"/>
  <c r="K120" i="2"/>
  <c r="B120" i="2"/>
  <c r="Z119" i="2"/>
  <c r="M119" i="2"/>
  <c r="L119" i="2"/>
  <c r="K119" i="2"/>
  <c r="B119" i="2"/>
  <c r="M118" i="2"/>
  <c r="L118" i="2"/>
  <c r="K118" i="2"/>
  <c r="Z117" i="2"/>
  <c r="M117" i="2"/>
  <c r="L117" i="2"/>
  <c r="K117" i="2"/>
  <c r="B117" i="2"/>
  <c r="M116" i="2"/>
  <c r="L116" i="2"/>
  <c r="K116" i="2"/>
  <c r="Z115" i="2"/>
  <c r="M115" i="2"/>
  <c r="L115" i="2"/>
  <c r="K115" i="2"/>
  <c r="B115" i="2"/>
  <c r="M114" i="2"/>
  <c r="L114" i="2"/>
  <c r="K114" i="2"/>
  <c r="B114" i="2"/>
  <c r="M113" i="2"/>
  <c r="L113" i="2"/>
  <c r="K113" i="2"/>
  <c r="B113" i="2"/>
  <c r="M112" i="2"/>
  <c r="L112" i="2"/>
  <c r="K112" i="2"/>
  <c r="M111" i="2"/>
  <c r="L111" i="2"/>
  <c r="K111" i="2"/>
  <c r="B111" i="2"/>
  <c r="M110" i="2"/>
  <c r="L110" i="2"/>
  <c r="K110" i="2"/>
  <c r="B110" i="2"/>
  <c r="M109" i="2"/>
  <c r="L109" i="2"/>
  <c r="K109" i="2"/>
  <c r="B109" i="2"/>
  <c r="M108" i="2"/>
  <c r="L108" i="2"/>
  <c r="K108" i="2"/>
  <c r="B108" i="2"/>
  <c r="M107" i="2"/>
  <c r="L107" i="2"/>
  <c r="K107" i="2"/>
  <c r="B107" i="2"/>
  <c r="M106" i="2"/>
  <c r="L106" i="2"/>
  <c r="K106" i="2"/>
  <c r="B106" i="2"/>
  <c r="Z105" i="2"/>
  <c r="M105" i="2"/>
  <c r="L105" i="2"/>
  <c r="K105" i="2"/>
  <c r="B105" i="2"/>
  <c r="M104" i="2"/>
  <c r="L104" i="2"/>
  <c r="K104" i="2"/>
  <c r="M103" i="2"/>
  <c r="L103" i="2"/>
  <c r="K103" i="2"/>
  <c r="B103" i="2"/>
  <c r="Z102" i="2"/>
  <c r="M101" i="2"/>
  <c r="L101" i="2"/>
  <c r="K101" i="2"/>
  <c r="B101" i="2"/>
  <c r="M100" i="2"/>
  <c r="L100" i="2"/>
  <c r="K100" i="2"/>
  <c r="B100" i="2"/>
  <c r="M99" i="2"/>
  <c r="L99" i="2"/>
  <c r="K99" i="2"/>
  <c r="B99" i="2"/>
  <c r="Z98" i="2"/>
  <c r="M98" i="2"/>
  <c r="L98" i="2"/>
  <c r="K98" i="2"/>
  <c r="B98" i="2"/>
  <c r="M97" i="2"/>
  <c r="L97" i="2"/>
  <c r="K97" i="2"/>
  <c r="Z96" i="2"/>
  <c r="M96" i="2"/>
  <c r="L96" i="2"/>
  <c r="K96" i="2"/>
  <c r="M95" i="2"/>
  <c r="L95" i="2"/>
  <c r="K95" i="2"/>
  <c r="M94" i="2"/>
  <c r="L94" i="2"/>
  <c r="K94" i="2"/>
  <c r="B94" i="2"/>
  <c r="M93" i="2"/>
  <c r="L93" i="2"/>
  <c r="K93" i="2"/>
  <c r="M92" i="2"/>
  <c r="L92" i="2"/>
  <c r="K92" i="2"/>
  <c r="B92" i="2"/>
  <c r="M91" i="2"/>
  <c r="L91" i="2"/>
  <c r="K91" i="2"/>
  <c r="B91" i="2"/>
  <c r="M90" i="2"/>
  <c r="L90" i="2"/>
  <c r="K90" i="2"/>
  <c r="B90" i="2"/>
  <c r="M89" i="2"/>
  <c r="L89" i="2"/>
  <c r="K89" i="2"/>
  <c r="B89" i="2"/>
  <c r="Z88" i="2"/>
  <c r="M88" i="2"/>
  <c r="L88" i="2"/>
  <c r="K88" i="2"/>
  <c r="B88" i="2"/>
  <c r="M87" i="2"/>
  <c r="L87" i="2"/>
  <c r="K87" i="2"/>
  <c r="B87" i="2"/>
  <c r="M86" i="2"/>
  <c r="L86" i="2"/>
  <c r="K86" i="2"/>
  <c r="B86" i="2"/>
  <c r="M85" i="2"/>
  <c r="L85" i="2"/>
  <c r="K85" i="2"/>
  <c r="B85" i="2"/>
  <c r="Z84" i="2"/>
  <c r="M84" i="2"/>
  <c r="L84" i="2"/>
  <c r="K84" i="2"/>
  <c r="B84" i="2"/>
  <c r="M83" i="2"/>
  <c r="L83" i="2"/>
  <c r="K83" i="2"/>
  <c r="B83" i="2"/>
  <c r="M82" i="2"/>
  <c r="L82" i="2"/>
  <c r="K82" i="2"/>
  <c r="B82" i="2"/>
  <c r="M81" i="2"/>
  <c r="L81" i="2"/>
  <c r="K81" i="2"/>
  <c r="B81" i="2"/>
  <c r="M80" i="2"/>
  <c r="L80" i="2"/>
  <c r="K80" i="2"/>
  <c r="B80" i="2"/>
  <c r="M79" i="2"/>
  <c r="L79" i="2"/>
  <c r="K79" i="2"/>
  <c r="B79" i="2"/>
  <c r="M78" i="2"/>
  <c r="L78" i="2"/>
  <c r="K78" i="2"/>
  <c r="B78" i="2"/>
  <c r="M77" i="2"/>
  <c r="L77" i="2"/>
  <c r="K77" i="2"/>
  <c r="B77" i="2"/>
  <c r="M76" i="2"/>
  <c r="L76" i="2"/>
  <c r="K76" i="2"/>
  <c r="B76" i="2"/>
  <c r="M75" i="2"/>
  <c r="L75" i="2"/>
  <c r="K75" i="2"/>
  <c r="B75" i="2"/>
  <c r="M74" i="2"/>
  <c r="L74" i="2"/>
  <c r="K74" i="2"/>
  <c r="B74" i="2"/>
  <c r="M73" i="2"/>
  <c r="L73" i="2"/>
  <c r="K73" i="2"/>
  <c r="Z72" i="2"/>
  <c r="M72" i="2"/>
  <c r="L72" i="2"/>
  <c r="K72" i="2"/>
  <c r="B72" i="2"/>
  <c r="M71" i="2"/>
  <c r="L71" i="2"/>
  <c r="K71" i="2"/>
  <c r="B71" i="2"/>
  <c r="M70" i="2"/>
  <c r="L70" i="2"/>
  <c r="K70" i="2"/>
  <c r="B70" i="2"/>
  <c r="Z69" i="2"/>
  <c r="M69" i="2"/>
  <c r="L69" i="2"/>
  <c r="K69" i="2"/>
  <c r="B69" i="2"/>
  <c r="M68" i="2"/>
  <c r="L68" i="2"/>
  <c r="K68" i="2"/>
  <c r="M67" i="2"/>
  <c r="L67" i="2"/>
  <c r="K67" i="2"/>
  <c r="B67" i="2"/>
  <c r="M66" i="2"/>
  <c r="L66" i="2"/>
  <c r="K66" i="2"/>
  <c r="B66" i="2"/>
  <c r="M65" i="2"/>
  <c r="L65" i="2"/>
  <c r="K65" i="2"/>
  <c r="B65" i="2"/>
  <c r="M64" i="2"/>
  <c r="L64" i="2"/>
  <c r="K64" i="2"/>
  <c r="B64" i="2"/>
  <c r="M63" i="2"/>
  <c r="L63" i="2"/>
  <c r="K63" i="2"/>
  <c r="B63" i="2"/>
  <c r="M62" i="2"/>
  <c r="L62" i="2"/>
  <c r="K62" i="2"/>
  <c r="B62" i="2"/>
  <c r="M61" i="2"/>
  <c r="L61" i="2"/>
  <c r="K61" i="2"/>
  <c r="B61" i="2"/>
  <c r="M60" i="2"/>
  <c r="L60" i="2"/>
  <c r="K60" i="2"/>
  <c r="B60" i="2"/>
  <c r="M59" i="2"/>
  <c r="L59" i="2"/>
  <c r="K59" i="2"/>
  <c r="M58" i="2"/>
  <c r="L58" i="2"/>
  <c r="K58" i="2"/>
  <c r="B58" i="2"/>
  <c r="M57" i="2"/>
  <c r="L57" i="2"/>
  <c r="K57" i="2"/>
  <c r="B57" i="2"/>
  <c r="M56" i="2"/>
  <c r="L56" i="2"/>
  <c r="K56" i="2"/>
  <c r="Z55" i="2"/>
  <c r="M55" i="2"/>
  <c r="L55" i="2"/>
  <c r="K55" i="2"/>
  <c r="B55" i="2"/>
  <c r="M54" i="2"/>
  <c r="L54" i="2"/>
  <c r="K54" i="2"/>
  <c r="Z53" i="2"/>
  <c r="Z51" i="2"/>
  <c r="Z50" i="2"/>
  <c r="M50" i="2"/>
  <c r="L50" i="2"/>
  <c r="K50" i="2"/>
  <c r="B50" i="2"/>
  <c r="Z49" i="2"/>
  <c r="M49" i="2"/>
  <c r="L49" i="2"/>
  <c r="K49" i="2"/>
  <c r="B49" i="2"/>
  <c r="M48" i="2"/>
  <c r="L48" i="2"/>
  <c r="K48" i="2"/>
  <c r="Z47" i="2"/>
  <c r="M47" i="2"/>
  <c r="L47" i="2"/>
  <c r="K47" i="2"/>
  <c r="B47" i="2"/>
  <c r="Z46" i="2"/>
  <c r="M46" i="2"/>
  <c r="L46" i="2"/>
  <c r="K46" i="2"/>
  <c r="B46" i="2"/>
  <c r="M45" i="2"/>
  <c r="L45" i="2"/>
  <c r="K45" i="2"/>
  <c r="B45" i="2"/>
  <c r="Z44" i="2"/>
  <c r="M44" i="2"/>
  <c r="L44" i="2"/>
  <c r="K44" i="2"/>
  <c r="B44" i="2"/>
  <c r="M43" i="2"/>
  <c r="L43" i="2"/>
  <c r="K43" i="2"/>
  <c r="B43" i="2"/>
  <c r="M42" i="2"/>
  <c r="L42" i="2"/>
  <c r="K42" i="2"/>
  <c r="B42" i="2"/>
  <c r="M41" i="2"/>
  <c r="L41" i="2"/>
  <c r="K41" i="2"/>
  <c r="B41" i="2"/>
  <c r="M40" i="2"/>
  <c r="L40" i="2"/>
  <c r="K40" i="2"/>
  <c r="B40" i="2"/>
  <c r="M39" i="2"/>
  <c r="L39" i="2"/>
  <c r="K39" i="2"/>
  <c r="B39" i="2"/>
  <c r="M38" i="2"/>
  <c r="L38" i="2"/>
  <c r="K38" i="2"/>
  <c r="B38" i="2"/>
  <c r="M37" i="2"/>
  <c r="L37" i="2"/>
  <c r="K37" i="2"/>
  <c r="B37" i="2"/>
  <c r="Z36" i="2"/>
  <c r="M36" i="2"/>
  <c r="L36" i="2"/>
  <c r="K36" i="2"/>
  <c r="B36" i="2"/>
  <c r="M35" i="2"/>
  <c r="L35" i="2"/>
  <c r="K35" i="2"/>
  <c r="B35" i="2"/>
  <c r="Z34" i="2"/>
  <c r="M34" i="2"/>
  <c r="L34" i="2"/>
  <c r="K34" i="2"/>
  <c r="B34" i="2"/>
  <c r="M33" i="2"/>
  <c r="L33" i="2"/>
  <c r="K33" i="2"/>
  <c r="B33" i="2"/>
  <c r="M32" i="2"/>
  <c r="L32" i="2"/>
  <c r="K32" i="2"/>
  <c r="B32" i="2"/>
  <c r="M31" i="2"/>
  <c r="L31" i="2"/>
  <c r="K31" i="2"/>
  <c r="B31" i="2"/>
  <c r="M30" i="2"/>
  <c r="L30" i="2"/>
  <c r="K30" i="2"/>
  <c r="B30" i="2"/>
  <c r="M29" i="2"/>
  <c r="L29" i="2"/>
  <c r="K29" i="2"/>
  <c r="M28" i="2"/>
  <c r="L28" i="2"/>
  <c r="K28" i="2"/>
  <c r="B28" i="2"/>
  <c r="M27" i="2"/>
  <c r="L27" i="2"/>
  <c r="K27" i="2"/>
  <c r="B27" i="2"/>
  <c r="Z26" i="2"/>
  <c r="M26" i="2"/>
  <c r="L26" i="2"/>
  <c r="K26" i="2"/>
  <c r="B26" i="2"/>
  <c r="Z25" i="2"/>
  <c r="M25" i="2"/>
  <c r="L25" i="2"/>
  <c r="K25" i="2"/>
  <c r="B25" i="2"/>
  <c r="Z24" i="2"/>
  <c r="M24" i="2"/>
  <c r="L24" i="2"/>
  <c r="K24" i="2"/>
  <c r="B24" i="2"/>
  <c r="Z23" i="2"/>
  <c r="M23" i="2"/>
  <c r="L23" i="2"/>
  <c r="K23" i="2"/>
  <c r="B23" i="2"/>
  <c r="Z22" i="2"/>
  <c r="M22" i="2"/>
  <c r="L22" i="2"/>
  <c r="K22" i="2"/>
  <c r="Z21" i="2"/>
  <c r="M21" i="2"/>
  <c r="L21" i="2"/>
  <c r="K21" i="2"/>
  <c r="B21" i="2"/>
  <c r="Z20" i="2"/>
  <c r="M20" i="2"/>
  <c r="L20" i="2"/>
  <c r="K20" i="2"/>
  <c r="M19" i="2"/>
  <c r="L19" i="2"/>
  <c r="K19" i="2"/>
  <c r="B19" i="2"/>
  <c r="M18" i="2"/>
  <c r="L18" i="2"/>
  <c r="K18" i="2"/>
  <c r="Z17" i="2"/>
  <c r="M17" i="2"/>
  <c r="L17" i="2"/>
  <c r="K17" i="2"/>
  <c r="B17" i="2"/>
  <c r="Z16" i="2"/>
  <c r="M16" i="2"/>
  <c r="L16" i="2"/>
  <c r="K16" i="2"/>
  <c r="B16" i="2"/>
  <c r="Z15" i="2"/>
  <c r="M15" i="2"/>
  <c r="L15" i="2"/>
  <c r="K15" i="2"/>
  <c r="Z14" i="2"/>
  <c r="M14" i="2"/>
  <c r="L14" i="2"/>
  <c r="K14" i="2"/>
  <c r="B14" i="2"/>
  <c r="Z13" i="2"/>
  <c r="M13" i="2"/>
  <c r="L13" i="2"/>
  <c r="K13" i="2"/>
  <c r="B13" i="2"/>
  <c r="M12" i="2"/>
  <c r="L12" i="2"/>
  <c r="K12" i="2"/>
  <c r="B12" i="2"/>
  <c r="Z11" i="2"/>
  <c r="M11" i="2"/>
  <c r="L11" i="2"/>
  <c r="K11" i="2"/>
  <c r="B11" i="2"/>
  <c r="Z10" i="2"/>
  <c r="M10" i="2"/>
  <c r="L10" i="2"/>
  <c r="K10" i="2"/>
  <c r="B10" i="2"/>
  <c r="M9" i="2"/>
  <c r="L9" i="2"/>
  <c r="K9" i="2"/>
  <c r="B9" i="2"/>
  <c r="M8" i="2"/>
  <c r="L8" i="2"/>
  <c r="K8" i="2"/>
  <c r="B8" i="2"/>
  <c r="M7" i="2"/>
  <c r="L7" i="2"/>
  <c r="K7" i="2"/>
  <c r="M6" i="2"/>
  <c r="L6" i="2"/>
  <c r="K6" i="2"/>
  <c r="B6" i="2"/>
  <c r="M5" i="2"/>
  <c r="L5" i="2"/>
  <c r="K5" i="2"/>
  <c r="B5" i="2"/>
  <c r="M4" i="2"/>
  <c r="L4" i="2"/>
  <c r="K4" i="2"/>
  <c r="B4" i="2"/>
  <c r="M3" i="2"/>
  <c r="L3" i="2"/>
  <c r="K3" i="2"/>
  <c r="BF22" i="4"/>
  <c r="BE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BF21" i="4"/>
  <c r="BE21" i="4"/>
  <c r="AO21" i="4"/>
  <c r="AN21" i="4"/>
  <c r="BF20" i="4"/>
  <c r="BE20" i="4"/>
  <c r="AO20" i="4"/>
  <c r="AN20" i="4"/>
  <c r="BF19" i="4"/>
  <c r="BE19" i="4"/>
  <c r="AO19" i="4"/>
  <c r="AN19" i="4"/>
  <c r="BF18" i="4"/>
  <c r="BE18" i="4"/>
  <c r="AO18" i="4"/>
  <c r="AN18" i="4"/>
  <c r="BF17" i="4"/>
  <c r="BE17" i="4"/>
  <c r="AO17" i="4"/>
  <c r="AN17" i="4"/>
  <c r="BF16" i="4"/>
  <c r="BE16" i="4"/>
  <c r="AO16" i="4"/>
  <c r="AN16" i="4"/>
  <c r="BF15" i="4"/>
  <c r="BE15" i="4"/>
  <c r="AO15" i="4"/>
  <c r="AN15" i="4"/>
  <c r="BF14" i="4"/>
  <c r="BE14" i="4"/>
  <c r="AO14" i="4"/>
  <c r="AN14" i="4"/>
  <c r="BF13" i="4"/>
  <c r="BE13" i="4"/>
  <c r="AO13" i="4"/>
  <c r="AN13" i="4"/>
  <c r="BF12" i="4"/>
  <c r="BE12" i="4"/>
  <c r="AO12" i="4"/>
  <c r="AN12" i="4"/>
  <c r="BF11" i="4"/>
  <c r="BE11" i="4"/>
  <c r="AO11" i="4"/>
  <c r="AN11" i="4"/>
  <c r="BF10" i="4"/>
  <c r="BE10" i="4"/>
  <c r="AO10" i="4"/>
  <c r="AN10" i="4"/>
  <c r="BF9" i="4"/>
  <c r="BE9" i="4"/>
  <c r="AO9" i="4"/>
  <c r="AN9" i="4"/>
  <c r="BF8" i="4"/>
  <c r="BE8" i="4"/>
  <c r="AO8" i="4"/>
  <c r="AN8" i="4"/>
  <c r="BF7" i="4"/>
  <c r="BE7" i="4"/>
  <c r="AO7" i="4"/>
  <c r="AN7" i="4"/>
  <c r="BF6" i="4"/>
  <c r="BE6" i="4"/>
  <c r="AO6" i="4"/>
  <c r="AN6" i="4"/>
  <c r="AB41" i="3"/>
  <c r="L41" i="3"/>
  <c r="K41" i="3"/>
  <c r="J41" i="3"/>
  <c r="I41" i="3"/>
  <c r="H41" i="3"/>
  <c r="G41" i="3"/>
  <c r="F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L141" i="9" s="1"/>
  <c r="K140" i="9"/>
  <c r="K139" i="9"/>
  <c r="K138" i="9"/>
  <c r="K137" i="9"/>
  <c r="K136" i="9"/>
  <c r="L136" i="9" s="1"/>
  <c r="M136" i="9" s="1"/>
  <c r="L135" i="9"/>
  <c r="M135" i="9" s="1"/>
  <c r="K134" i="9"/>
  <c r="K133" i="9"/>
  <c r="K132" i="9"/>
  <c r="K131" i="9"/>
  <c r="K130" i="9"/>
  <c r="K129" i="9"/>
  <c r="K128" i="9"/>
  <c r="K127" i="9"/>
  <c r="K126" i="9"/>
  <c r="L126" i="9" s="1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L85" i="9" s="1"/>
  <c r="K83" i="9"/>
  <c r="K82" i="9"/>
  <c r="K81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L51" i="9" s="1"/>
  <c r="M51" i="9" s="1"/>
  <c r="K50" i="9"/>
  <c r="L50" i="9" s="1"/>
  <c r="M50" i="9" s="1"/>
  <c r="K49" i="9"/>
  <c r="L49" i="9" s="1"/>
  <c r="M49" i="9" s="1"/>
  <c r="K48" i="9"/>
  <c r="L48" i="9" s="1"/>
  <c r="M48" i="9" s="1"/>
  <c r="K47" i="9"/>
  <c r="L47" i="9" s="1"/>
  <c r="M47" i="9" s="1"/>
  <c r="K46" i="9"/>
  <c r="L46" i="9" s="1"/>
  <c r="M46" i="9" s="1"/>
  <c r="K45" i="9"/>
  <c r="L45" i="9" s="1"/>
  <c r="M45" i="9" s="1"/>
  <c r="K44" i="9"/>
  <c r="L44" i="9" s="1"/>
  <c r="M44" i="9" s="1"/>
  <c r="K43" i="9"/>
  <c r="L43" i="9" s="1"/>
  <c r="M43" i="9" s="1"/>
  <c r="K42" i="9"/>
  <c r="L42" i="9" s="1"/>
  <c r="M42" i="9" s="1"/>
  <c r="K41" i="9"/>
  <c r="L41" i="9" s="1"/>
  <c r="M41" i="9" s="1"/>
  <c r="K40" i="9"/>
  <c r="L40" i="9" s="1"/>
  <c r="M40" i="9" s="1"/>
  <c r="K39" i="9"/>
  <c r="L39" i="9" s="1"/>
  <c r="M39" i="9" s="1"/>
  <c r="K38" i="9"/>
  <c r="L38" i="9" s="1"/>
  <c r="M38" i="9" s="1"/>
  <c r="K37" i="9"/>
  <c r="L37" i="9" s="1"/>
  <c r="M37" i="9" s="1"/>
  <c r="K36" i="9"/>
  <c r="L36" i="9" s="1"/>
  <c r="M36" i="9" s="1"/>
  <c r="K35" i="9"/>
  <c r="L35" i="9" s="1"/>
  <c r="M35" i="9" s="1"/>
  <c r="K34" i="9"/>
  <c r="L34" i="9" s="1"/>
  <c r="M34" i="9" s="1"/>
  <c r="K33" i="9"/>
  <c r="L33" i="9" s="1"/>
  <c r="M33" i="9" s="1"/>
  <c r="K32" i="9"/>
  <c r="L32" i="9" s="1"/>
  <c r="M32" i="9" s="1"/>
  <c r="K31" i="9"/>
  <c r="L31" i="9" s="1"/>
  <c r="M31" i="9" s="1"/>
  <c r="K30" i="9"/>
  <c r="L30" i="9" s="1"/>
  <c r="M30" i="9" s="1"/>
  <c r="K29" i="9"/>
  <c r="L29" i="9" s="1"/>
  <c r="M29" i="9" s="1"/>
  <c r="K28" i="9"/>
  <c r="L28" i="9" s="1"/>
  <c r="M28" i="9" s="1"/>
  <c r="K27" i="9"/>
  <c r="L27" i="9" s="1"/>
  <c r="M27" i="9" s="1"/>
  <c r="K26" i="9"/>
  <c r="L26" i="9" s="1"/>
  <c r="M26" i="9" s="1"/>
  <c r="K25" i="9"/>
  <c r="L25" i="9" s="1"/>
  <c r="M25" i="9" s="1"/>
  <c r="K24" i="9"/>
  <c r="L24" i="9" s="1"/>
  <c r="M24" i="9" s="1"/>
  <c r="K23" i="9"/>
  <c r="L23" i="9" s="1"/>
  <c r="M23" i="9" s="1"/>
  <c r="K22" i="9"/>
  <c r="L22" i="9" s="1"/>
  <c r="M22" i="9" s="1"/>
  <c r="K21" i="9"/>
  <c r="L21" i="9" s="1"/>
  <c r="M21" i="9" s="1"/>
  <c r="K20" i="9"/>
  <c r="L20" i="9" s="1"/>
  <c r="M20" i="9" s="1"/>
  <c r="K19" i="9"/>
  <c r="L19" i="9" s="1"/>
  <c r="M19" i="9" s="1"/>
  <c r="K18" i="9"/>
  <c r="L18" i="9" s="1"/>
  <c r="M18" i="9" s="1"/>
  <c r="K17" i="9"/>
  <c r="L17" i="9" s="1"/>
  <c r="M17" i="9" s="1"/>
  <c r="K16" i="9"/>
  <c r="L16" i="9" s="1"/>
  <c r="M16" i="9" s="1"/>
  <c r="K15" i="9"/>
  <c r="L15" i="9" s="1"/>
  <c r="M15" i="9" s="1"/>
  <c r="K14" i="9"/>
  <c r="L14" i="9" s="1"/>
  <c r="M14" i="9" s="1"/>
  <c r="K13" i="9"/>
  <c r="L13" i="9" s="1"/>
  <c r="M13" i="9" s="1"/>
  <c r="K12" i="9"/>
  <c r="L12" i="9" s="1"/>
  <c r="M12" i="9" s="1"/>
  <c r="K11" i="9"/>
  <c r="L11" i="9" s="1"/>
  <c r="M11" i="9" s="1"/>
  <c r="K10" i="9"/>
  <c r="L10" i="9" s="1"/>
  <c r="M10" i="9" s="1"/>
  <c r="K9" i="9"/>
  <c r="L9" i="9" s="1"/>
  <c r="M9" i="9" s="1"/>
  <c r="K8" i="9"/>
  <c r="L8" i="9" s="1"/>
  <c r="M8" i="9" s="1"/>
  <c r="K7" i="9"/>
  <c r="L7" i="9" s="1"/>
  <c r="M7" i="9" s="1"/>
  <c r="K6" i="9"/>
  <c r="L6" i="9" s="1"/>
  <c r="M6" i="9" s="1"/>
  <c r="K5" i="9"/>
  <c r="L5" i="9" s="1"/>
  <c r="M5" i="9" s="1"/>
  <c r="K4" i="9"/>
  <c r="L4" i="9" s="1"/>
  <c r="M4" i="9" s="1"/>
  <c r="L59" i="9" l="1"/>
  <c r="M59" i="9" s="1"/>
  <c r="L67" i="9"/>
  <c r="M67" i="9" s="1"/>
  <c r="L87" i="9"/>
  <c r="M87" i="9" s="1"/>
  <c r="L95" i="9"/>
  <c r="M95" i="9" s="1"/>
  <c r="L107" i="9"/>
  <c r="M107" i="9" s="1"/>
  <c r="L115" i="9"/>
  <c r="M115" i="9" s="1"/>
  <c r="L123" i="9"/>
  <c r="M123" i="9" s="1"/>
  <c r="L147" i="9"/>
  <c r="M147" i="9" s="1"/>
  <c r="L155" i="9"/>
  <c r="M155" i="9" s="1"/>
  <c r="L163" i="9"/>
  <c r="M163" i="9" s="1"/>
  <c r="L171" i="9"/>
  <c r="M171" i="9" s="1"/>
  <c r="L179" i="9"/>
  <c r="M179" i="9" s="1"/>
  <c r="L52" i="9"/>
  <c r="M52" i="9" s="1"/>
  <c r="L60" i="9"/>
  <c r="M60" i="9" s="1"/>
  <c r="L64" i="9"/>
  <c r="M64" i="9" s="1"/>
  <c r="L76" i="9"/>
  <c r="M76" i="9" s="1"/>
  <c r="L83" i="9"/>
  <c r="M83" i="9" s="1"/>
  <c r="L92" i="9"/>
  <c r="M92" i="9" s="1"/>
  <c r="L100" i="9"/>
  <c r="M100" i="9" s="1"/>
  <c r="L104" i="9"/>
  <c r="M104" i="9" s="1"/>
  <c r="L112" i="9"/>
  <c r="M112" i="9" s="1"/>
  <c r="L120" i="9"/>
  <c r="M120" i="9" s="1"/>
  <c r="L124" i="9"/>
  <c r="M124" i="9" s="1"/>
  <c r="L128" i="9"/>
  <c r="M128" i="9" s="1"/>
  <c r="L132" i="9"/>
  <c r="M132" i="9" s="1"/>
  <c r="L140" i="9"/>
  <c r="M140" i="9" s="1"/>
  <c r="L148" i="9"/>
  <c r="M148" i="9" s="1"/>
  <c r="L156" i="9"/>
  <c r="M156" i="9" s="1"/>
  <c r="L164" i="9"/>
  <c r="M164" i="9" s="1"/>
  <c r="L168" i="9"/>
  <c r="M168" i="9" s="1"/>
  <c r="L176" i="9"/>
  <c r="M176" i="9" s="1"/>
  <c r="L54" i="9"/>
  <c r="M54" i="9" s="1"/>
  <c r="L58" i="9"/>
  <c r="M58" i="9" s="1"/>
  <c r="L62" i="9"/>
  <c r="M62" i="9" s="1"/>
  <c r="L66" i="9"/>
  <c r="M66" i="9" s="1"/>
  <c r="L70" i="9"/>
  <c r="M70" i="9" s="1"/>
  <c r="L74" i="9"/>
  <c r="M74" i="9" s="1"/>
  <c r="L78" i="9"/>
  <c r="M78" i="9" s="1"/>
  <c r="L81" i="9"/>
  <c r="M81" i="9" s="1"/>
  <c r="L86" i="9"/>
  <c r="M86" i="9" s="1"/>
  <c r="L90" i="9"/>
  <c r="M90" i="9" s="1"/>
  <c r="L94" i="9"/>
  <c r="M94" i="9" s="1"/>
  <c r="L98" i="9"/>
  <c r="M98" i="9" s="1"/>
  <c r="L102" i="9"/>
  <c r="M102" i="9" s="1"/>
  <c r="L106" i="9"/>
  <c r="M106" i="9" s="1"/>
  <c r="L110" i="9"/>
  <c r="M110" i="9" s="1"/>
  <c r="L114" i="9"/>
  <c r="M114" i="9" s="1"/>
  <c r="L118" i="9"/>
  <c r="M118" i="9" s="1"/>
  <c r="L122" i="9"/>
  <c r="M122" i="9" s="1"/>
  <c r="L130" i="9"/>
  <c r="M130" i="9" s="1"/>
  <c r="L134" i="9"/>
  <c r="M134" i="9" s="1"/>
  <c r="L138" i="9"/>
  <c r="M138" i="9" s="1"/>
  <c r="L142" i="9"/>
  <c r="M142" i="9" s="1"/>
  <c r="L146" i="9"/>
  <c r="M146" i="9" s="1"/>
  <c r="L150" i="9"/>
  <c r="M150" i="9" s="1"/>
  <c r="L154" i="9"/>
  <c r="M154" i="9" s="1"/>
  <c r="L158" i="9"/>
  <c r="M158" i="9" s="1"/>
  <c r="L162" i="9"/>
  <c r="M162" i="9" s="1"/>
  <c r="L166" i="9"/>
  <c r="M166" i="9" s="1"/>
  <c r="L170" i="9"/>
  <c r="M170" i="9" s="1"/>
  <c r="L174" i="9"/>
  <c r="M174" i="9" s="1"/>
  <c r="L178" i="9"/>
  <c r="M178" i="9" s="1"/>
  <c r="L55" i="9"/>
  <c r="M55" i="9" s="1"/>
  <c r="L63" i="9"/>
  <c r="M63" i="9" s="1"/>
  <c r="L71" i="9"/>
  <c r="M71" i="9" s="1"/>
  <c r="L75" i="9"/>
  <c r="M75" i="9" s="1"/>
  <c r="L82" i="9"/>
  <c r="M82" i="9" s="1"/>
  <c r="L91" i="9"/>
  <c r="M91" i="9" s="1"/>
  <c r="L99" i="9"/>
  <c r="M99" i="9" s="1"/>
  <c r="L103" i="9"/>
  <c r="M103" i="9" s="1"/>
  <c r="L111" i="9"/>
  <c r="M111" i="9" s="1"/>
  <c r="L119" i="9"/>
  <c r="M119" i="9" s="1"/>
  <c r="L127" i="9"/>
  <c r="M127" i="9" s="1"/>
  <c r="L131" i="9"/>
  <c r="M131" i="9" s="1"/>
  <c r="L139" i="9"/>
  <c r="M139" i="9" s="1"/>
  <c r="L143" i="9"/>
  <c r="M143" i="9" s="1"/>
  <c r="L151" i="9"/>
  <c r="M151" i="9" s="1"/>
  <c r="L159" i="9"/>
  <c r="M159" i="9" s="1"/>
  <c r="L167" i="9"/>
  <c r="M167" i="9" s="1"/>
  <c r="L175" i="9"/>
  <c r="M175" i="9" s="1"/>
  <c r="L56" i="9"/>
  <c r="M56" i="9" s="1"/>
  <c r="L68" i="9"/>
  <c r="M68" i="9" s="1"/>
  <c r="L72" i="9"/>
  <c r="M72" i="9" s="1"/>
  <c r="L88" i="9"/>
  <c r="M88" i="9" s="1"/>
  <c r="L96" i="9"/>
  <c r="M96" i="9" s="1"/>
  <c r="L108" i="9"/>
  <c r="M108" i="9" s="1"/>
  <c r="L116" i="9"/>
  <c r="M116" i="9" s="1"/>
  <c r="L144" i="9"/>
  <c r="M144" i="9" s="1"/>
  <c r="L152" i="9"/>
  <c r="M152" i="9" s="1"/>
  <c r="L160" i="9"/>
  <c r="M160" i="9" s="1"/>
  <c r="L172" i="9"/>
  <c r="M172" i="9" s="1"/>
  <c r="L180" i="9"/>
  <c r="M180" i="9" s="1"/>
  <c r="L53" i="9"/>
  <c r="M53" i="9" s="1"/>
  <c r="L57" i="9"/>
  <c r="M57" i="9" s="1"/>
  <c r="L61" i="9"/>
  <c r="M61" i="9" s="1"/>
  <c r="L65" i="9"/>
  <c r="M65" i="9" s="1"/>
  <c r="L69" i="9"/>
  <c r="M69" i="9" s="1"/>
  <c r="L73" i="9"/>
  <c r="M73" i="9" s="1"/>
  <c r="L77" i="9"/>
  <c r="M77" i="9" s="1"/>
  <c r="L79" i="9"/>
  <c r="M79" i="9" s="1"/>
  <c r="L89" i="9"/>
  <c r="M89" i="9" s="1"/>
  <c r="L93" i="9"/>
  <c r="M93" i="9" s="1"/>
  <c r="L97" i="9"/>
  <c r="M97" i="9" s="1"/>
  <c r="L101" i="9"/>
  <c r="M101" i="9" s="1"/>
  <c r="L105" i="9"/>
  <c r="M105" i="9" s="1"/>
  <c r="L109" i="9"/>
  <c r="M109" i="9" s="1"/>
  <c r="L113" i="9"/>
  <c r="M113" i="9" s="1"/>
  <c r="L117" i="9"/>
  <c r="M117" i="9" s="1"/>
  <c r="L121" i="9"/>
  <c r="M121" i="9" s="1"/>
  <c r="L125" i="9"/>
  <c r="M125" i="9" s="1"/>
  <c r="L129" i="9"/>
  <c r="M129" i="9" s="1"/>
  <c r="L133" i="9"/>
  <c r="M133" i="9" s="1"/>
  <c r="L137" i="9"/>
  <c r="M137" i="9" s="1"/>
  <c r="L145" i="9"/>
  <c r="M145" i="9" s="1"/>
  <c r="L149" i="9"/>
  <c r="M149" i="9" s="1"/>
  <c r="L153" i="9"/>
  <c r="M153" i="9" s="1"/>
  <c r="L157" i="9"/>
  <c r="M157" i="9" s="1"/>
  <c r="L161" i="9"/>
  <c r="M161" i="9" s="1"/>
  <c r="L165" i="9"/>
  <c r="M165" i="9" s="1"/>
  <c r="L169" i="9"/>
  <c r="M169" i="9" s="1"/>
  <c r="L173" i="9"/>
  <c r="M173" i="9" s="1"/>
  <c r="L177" i="9"/>
  <c r="M177" i="9" s="1"/>
  <c r="L181" i="9"/>
  <c r="M181" i="9" s="1"/>
  <c r="M85" i="9"/>
  <c r="M126" i="9"/>
  <c r="M141" i="9"/>
  <c r="M34" i="3"/>
  <c r="M37" i="3"/>
  <c r="M36" i="3"/>
  <c r="M28" i="3"/>
  <c r="M31" i="3"/>
  <c r="M40" i="3"/>
  <c r="M27" i="3"/>
  <c r="M26" i="3"/>
  <c r="M33" i="3"/>
  <c r="M25" i="3"/>
  <c r="M41" i="3"/>
  <c r="M32" i="3"/>
  <c r="M39" i="3"/>
  <c r="M35" i="3"/>
  <c r="M38" i="3"/>
  <c r="M30" i="3"/>
  <c r="M29" i="3"/>
</calcChain>
</file>

<file path=xl/sharedStrings.xml><?xml version="1.0" encoding="utf-8"?>
<sst xmlns="http://schemas.openxmlformats.org/spreadsheetml/2006/main" count="3346" uniqueCount="309">
  <si>
    <t xml:space="preserve">REGIÓN </t>
  </si>
  <si>
    <t>CÓDIGO LICITACIÓN</t>
  </si>
  <si>
    <t>TIPO</t>
  </si>
  <si>
    <t>MODELO</t>
  </si>
  <si>
    <t>COMUNA BASE PREFERENTE</t>
  </si>
  <si>
    <t>FOCALIZACIÓN</t>
  </si>
  <si>
    <t>COBERTURA</t>
  </si>
  <si>
    <t>CVF</t>
  </si>
  <si>
    <t>EDAD</t>
  </si>
  <si>
    <t>SEXO</t>
  </si>
  <si>
    <t>COSTO NIÑO MES</t>
  </si>
  <si>
    <t>MONTO ANUAL</t>
  </si>
  <si>
    <t>MONTO PERIODO A LICITAR</t>
  </si>
  <si>
    <t>PERIODO A LICITAR (AÑOS)</t>
  </si>
  <si>
    <t>Región</t>
  </si>
  <si>
    <t>CodProyecto</t>
  </si>
  <si>
    <t>Nombre</t>
  </si>
  <si>
    <t>Nº Plazas</t>
  </si>
  <si>
    <t>Edad Mínima</t>
  </si>
  <si>
    <t>Edad Máxima</t>
  </si>
  <si>
    <t>Sexo</t>
  </si>
  <si>
    <t>Comuna</t>
  </si>
  <si>
    <t>Fecha
 Inicio</t>
  </si>
  <si>
    <t>Fecha
 Término</t>
  </si>
  <si>
    <t>MONTO ANUAL                              ($)</t>
  </si>
  <si>
    <t>R - CENTROS RESIDENCIALES</t>
  </si>
  <si>
    <t>REM</t>
  </si>
  <si>
    <t>VALLENAR</t>
  </si>
  <si>
    <t>REGIONAL</t>
  </si>
  <si>
    <t>NO</t>
  </si>
  <si>
    <t>M</t>
  </si>
  <si>
    <t>REM - RESIDENCIA ALMA</t>
  </si>
  <si>
    <t>A</t>
  </si>
  <si>
    <t>SI</t>
  </si>
  <si>
    <t>P - PROGRAMAS</t>
  </si>
  <si>
    <t>PER</t>
  </si>
  <si>
    <t>N/A</t>
  </si>
  <si>
    <t>PER - RESIDENCIA ALMA</t>
  </si>
  <si>
    <t>COPIAPÓ</t>
  </si>
  <si>
    <t xml:space="preserve">REM </t>
  </si>
  <si>
    <t>RPE</t>
  </si>
  <si>
    <t>RSP</t>
  </si>
  <si>
    <t>RSP - EMMANUEL</t>
  </si>
  <si>
    <t>PRE</t>
  </si>
  <si>
    <t>PER - EMMANUEL</t>
  </si>
  <si>
    <t xml:space="preserve">PPE </t>
  </si>
  <si>
    <t>RLP</t>
  </si>
  <si>
    <t>RLP - NAZARETH</t>
  </si>
  <si>
    <t>PER - NAZARETH</t>
  </si>
  <si>
    <t>REM - VILLA PADRE ALCESTE PIERGIOVANNI</t>
  </si>
  <si>
    <t>QUINTA DE TILCOCO</t>
  </si>
  <si>
    <t>PER - VILLA PADRE ALCESTE PIERGIOVANNI</t>
  </si>
  <si>
    <t>RANCAGUA</t>
  </si>
  <si>
    <t>RLP - OLVIDO RIESTRA DE MATETIC</t>
  </si>
  <si>
    <t>PER - OLVIDO RIESTRA DE MATETIC</t>
  </si>
  <si>
    <t>F</t>
  </si>
  <si>
    <t>PER - CATALINA KENTENICH</t>
  </si>
  <si>
    <t>REM - CATALINA KENTENICH</t>
  </si>
  <si>
    <t>COYHAIQUE</t>
  </si>
  <si>
    <t>RLP - RENUEVITO COYHAIQUE</t>
  </si>
  <si>
    <t>RU 30-06-2019</t>
  </si>
  <si>
    <t>PER - RENUEVITO COYHAIQUE</t>
  </si>
  <si>
    <t>ANTOFAGASTA</t>
  </si>
  <si>
    <t>REM - LAURA VICUÑA</t>
  </si>
  <si>
    <t>PER - LAURA VICUÑA</t>
  </si>
  <si>
    <t>CALAMA</t>
  </si>
  <si>
    <t>PER - INFANTO ADOLESCENTE PADRE ALBERTO HURTADO</t>
  </si>
  <si>
    <t>REM - RESIDENCIA INFANTO ADOLESCENTE PADRE ALBERTO HURTADO</t>
  </si>
  <si>
    <t>META PRESUPUESTARIA 2019</t>
  </si>
  <si>
    <t>PUNTA ARENAS</t>
  </si>
  <si>
    <t>REM - HOGAR DEL NIÑO MIRAFLORES</t>
  </si>
  <si>
    <t>PER - HOGAR DEL NIÑO MIRAFLORES</t>
  </si>
  <si>
    <t>OSORNO</t>
  </si>
  <si>
    <t>RPM - CATALINA KEIM</t>
  </si>
  <si>
    <t>PER - CATALINA KEIM</t>
  </si>
  <si>
    <t>PPE</t>
  </si>
  <si>
    <t>MAULE</t>
  </si>
  <si>
    <t xml:space="preserve">PROVINCIAL </t>
  </si>
  <si>
    <t>RPP - HOGAR DE VIDA FAMILIAR INFANTIL SAN JOSE I</t>
  </si>
  <si>
    <t xml:space="preserve">LINARES </t>
  </si>
  <si>
    <t>REM - RENUEVO PARRAL</t>
  </si>
  <si>
    <t>PARRAL</t>
  </si>
  <si>
    <t>PER - RENUEVO PARRAL</t>
  </si>
  <si>
    <t>CURICO</t>
  </si>
  <si>
    <t>REM - RENUEVO TALCA</t>
  </si>
  <si>
    <t xml:space="preserve">CURICO </t>
  </si>
  <si>
    <t>PER - RENUEVO TALCA</t>
  </si>
  <si>
    <t>CAUQUENES</t>
  </si>
  <si>
    <t>REM - RESIDENCIA CIUDAD DEL NIÑO CAUQUENES</t>
  </si>
  <si>
    <t>PER - RESIDENCIA CUIDAD DEL NIÑO CAUQUENES</t>
  </si>
  <si>
    <t>RPM - RESIDENCIA DE VIDA FAMILIAR TERESA DE JESUS</t>
  </si>
  <si>
    <t>CURICÓ</t>
  </si>
  <si>
    <t>RPM - ALDEA INFANTIL SOS CURICO</t>
  </si>
  <si>
    <t>SAN JAVIER</t>
  </si>
  <si>
    <t>RPM - VIDA FAMILIAR SAN JOSE DE SAN JAVIER</t>
  </si>
  <si>
    <t>LINARES</t>
  </si>
  <si>
    <t>RPM - VIDA FAMILIAR MADRE DE LA ESPERANZA</t>
  </si>
  <si>
    <t>PER - CONSTRUYENDO DESDE LA ESPERANZA</t>
  </si>
  <si>
    <t>RLP - RESIDENCIA DE VIDA FAMILIAR INFANTIL SAN JOSE II</t>
  </si>
  <si>
    <t>PER - RESIDENCIA DE VIDA FAMILIAR INFANTIL SAN JOSE II</t>
  </si>
  <si>
    <t>TALCA</t>
  </si>
  <si>
    <t>CORONEL</t>
  </si>
  <si>
    <t>LEBU</t>
  </si>
  <si>
    <t>REM - JUAN APOSTOL LEBU</t>
  </si>
  <si>
    <t>PER - JUAN APOSTOL LEBU</t>
  </si>
  <si>
    <t>RPM - FARO DE LUZ Y ESPERANZA</t>
  </si>
  <si>
    <t>LOS ANGELES</t>
  </si>
  <si>
    <t>RPM - RESIDENCIA SANTA MARIA DE LOS ANGELES</t>
  </si>
  <si>
    <t>PER - ALDEA INFANTILES SOS BULNES</t>
  </si>
  <si>
    <t>BULNES</t>
  </si>
  <si>
    <t>RPM - RESIDENCIA PADRE HERNAN</t>
  </si>
  <si>
    <t>CONCEPCIÓN</t>
  </si>
  <si>
    <t>RPM - NATIVIDAD DE MARIA</t>
  </si>
  <si>
    <t>CHIGUAYANTE</t>
  </si>
  <si>
    <t>RPM - VILLA SANTA MARIA GORETTI</t>
  </si>
  <si>
    <t>CURANILAHUE</t>
  </si>
  <si>
    <t>RPM - MANOS ABIERTAS</t>
  </si>
  <si>
    <t>SAN PEDRO DE LA PAZ</t>
  </si>
  <si>
    <t>RPM - HOGAR DE NIÑOS BERNARDITA SERRANO</t>
  </si>
  <si>
    <t>MÁFIL</t>
  </si>
  <si>
    <t>REM - RESIDENCIA AHORA</t>
  </si>
  <si>
    <t>PER - RESIDENCIA AHORA</t>
  </si>
  <si>
    <t>VALDIVIA</t>
  </si>
  <si>
    <t>REM - RESIDENCIA DE PROTECCION HOGAR VALDIVIA</t>
  </si>
  <si>
    <t>PER - RESIDENCIA DE PROTECCION HOGAR VALDIVIA</t>
  </si>
  <si>
    <t>RSP - VILLA HUIDIF</t>
  </si>
  <si>
    <t>PER - VILLA HUIDIF</t>
  </si>
  <si>
    <t>LIMACHE</t>
  </si>
  <si>
    <t>RPM</t>
  </si>
  <si>
    <t>RPM - REFUGIO SAN PATRICIO</t>
  </si>
  <si>
    <t>PER - SAN PATRICIO</t>
  </si>
  <si>
    <t>SAN FELIPE</t>
  </si>
  <si>
    <t>RPM - CASA DE JOVENES WALTER ZIELKE</t>
  </si>
  <si>
    <t>PER - CASA DE JOVENES WALTER ZIELKE</t>
  </si>
  <si>
    <t>RPP</t>
  </si>
  <si>
    <t>REM - RESIDENCIA DE NIÑOS Y JOVENES PABLO VI</t>
  </si>
  <si>
    <t>PER - RESIDENCIA DE NIÑOS Y JOVENES PABLO VI</t>
  </si>
  <si>
    <t>VALPARAÍSO</t>
  </si>
  <si>
    <t>VIÑA DEL MAR</t>
  </si>
  <si>
    <t>RLP - HOGAR MI FAMILIA</t>
  </si>
  <si>
    <t>PER - HOGAR MI FAMILIA</t>
  </si>
  <si>
    <t>RPM- HOGAR TERESA CORTES BROWN</t>
  </si>
  <si>
    <t>PER - HOGAR TERESA CORTES BROWN</t>
  </si>
  <si>
    <t>REM - HOGAR DE NIÑOS ARTURO PRAT</t>
  </si>
  <si>
    <t>LA CRUZ</t>
  </si>
  <si>
    <t>PER - HOGAR DE NIÑOS ARTURO PRAT</t>
  </si>
  <si>
    <t>SAN ANTONIO</t>
  </si>
  <si>
    <t>VALPARAISO</t>
  </si>
  <si>
    <t>0 a 5 años, 11 meses y 29 días</t>
  </si>
  <si>
    <t>0 a 2 años, 11 meses y 29 días</t>
  </si>
  <si>
    <t>12 a 17 años, 11 meses y 29 días</t>
  </si>
  <si>
    <t>6 a 11 años, 11 meses y 29 días</t>
  </si>
  <si>
    <t>6 a 17 años, 11 meses y 29 días</t>
  </si>
  <si>
    <t>ARICA</t>
  </si>
  <si>
    <t>RPM - ALWA</t>
  </si>
  <si>
    <t>RLP - RESIDENCIA NIDO AMIGO DE ARICA</t>
  </si>
  <si>
    <t>PER - RESIDENCIA NIDO AMIGO DE ARICA</t>
  </si>
  <si>
    <t>Saldos de REM - VILLA PADRE ALCESTE PIERGIOVANNI/RLP - OLVIDO RIESTRA DE MATETIC</t>
  </si>
  <si>
    <t>PER - VILLA PADRE ALCESTE PIERGIOVANNI/PER OLVIDO RIESTRA</t>
  </si>
  <si>
    <t>TRAIGUÉN</t>
  </si>
  <si>
    <t>REM - BEATA LAURA VICUÑA</t>
  </si>
  <si>
    <t>PER - BEATA LAURA VICUÑA</t>
  </si>
  <si>
    <t>ANGOL</t>
  </si>
  <si>
    <t>CURARREHUE</t>
  </si>
  <si>
    <t>RLP - SAN MARTIN</t>
  </si>
  <si>
    <t>PER - SAN MARTIN</t>
  </si>
  <si>
    <t>REM - SANTA TRINIDAD</t>
  </si>
  <si>
    <t>PER - SANTA TRINIDAD</t>
  </si>
  <si>
    <t>TEMUCO</t>
  </si>
  <si>
    <t>REM - FRANCISCO VALDES</t>
  </si>
  <si>
    <t>PER - FRANCISCO VALDES</t>
  </si>
  <si>
    <t>COQUIMBO</t>
  </si>
  <si>
    <t>CLA - CTRO. DIAG. PARA LACTANTES STA MAR</t>
  </si>
  <si>
    <t>LA SERENA</t>
  </si>
  <si>
    <t>RSP - RIMANAKUY</t>
  </si>
  <si>
    <t>PER - RIMANAKUY</t>
  </si>
  <si>
    <t>RPM - RESIDENCIA INFANTO ADOLESCENTE HATARY</t>
  </si>
  <si>
    <t>LOS VILOS</t>
  </si>
  <si>
    <t>LA SERENA, COQUIMBO, VICUÑA, PAIHUANO</t>
  </si>
  <si>
    <t>ILLAPEL</t>
  </si>
  <si>
    <t>PER - CORPORACION PARA EL DESARROLLO INTEGRAL DE LA PROVIDENCIA DE CHOAPA ILLAPEL</t>
  </si>
  <si>
    <t>CLA</t>
  </si>
  <si>
    <t>REM - CORPORACION PARA EL DESARROLLO INTEGRAL DE LA PROVIDENCIA DE CHOAPA ILLAPEL</t>
  </si>
  <si>
    <t>3 a 5 años, 11 meses y 29 días</t>
  </si>
  <si>
    <t>CHILLÁN</t>
  </si>
  <si>
    <t>RPM - HOGAR TERESA TODA</t>
  </si>
  <si>
    <t>CHILLÁN VIEJO</t>
  </si>
  <si>
    <t>REM - RESIDENCIA HORIZONTES</t>
  </si>
  <si>
    <t>SAN CARLOS</t>
  </si>
  <si>
    <t>PER - HORIZONTE</t>
  </si>
  <si>
    <t>IQUIQUE</t>
  </si>
  <si>
    <t>REM - CODITFAM RESIDENCIAL IQUIQUE</t>
  </si>
  <si>
    <t>PER - CODITFAM RESIDENCIAL IQUIQUE</t>
  </si>
  <si>
    <t>REM - TENIENTE HERNAN MERINO CORREA</t>
  </si>
  <si>
    <t>PER - CENTRO RESIDENCIAL TENIENTE HERNAN MERINO CORREA</t>
  </si>
  <si>
    <t>RPM - RESIDENCIA NUESTRA SEÑORA DE LA ESPERANZA</t>
  </si>
  <si>
    <t>REM - RESIDENCIA AMIGO ARAGÓN</t>
  </si>
  <si>
    <t>PER - RESIDENCIA AMIGO ARAGÓN</t>
  </si>
  <si>
    <t>RLP - RESIDENCIA ALEAH</t>
  </si>
  <si>
    <t>PER - RESIDENCIA ALEAH</t>
  </si>
  <si>
    <t>LOS MUERMOS</t>
  </si>
  <si>
    <t>REM - AMANCAY</t>
  </si>
  <si>
    <t>CASTRO</t>
  </si>
  <si>
    <t>PER - AMANCAY</t>
  </si>
  <si>
    <t>PUERTO MONTT</t>
  </si>
  <si>
    <t>SANTIAGO</t>
  </si>
  <si>
    <t>PEÑAFLOR</t>
  </si>
  <si>
    <t>RPM - HOGAR ALDEA MIS AMIGOS</t>
  </si>
  <si>
    <t xml:space="preserve">RECURSOS REGIONALES </t>
  </si>
  <si>
    <t>RECURSOS REGIONALES DEL RSP/PER - TIKUNA (RESIDENCIA CERRADA)</t>
  </si>
  <si>
    <t>META PRESUPUESTARIA 2019 (AUMENTO DE 10 PLAZAS PARA EL PER - LAURA VICUÑA - 1040267)</t>
  </si>
  <si>
    <t>REM - MONSEÑOR FELIX RUIZ ESCUDERO</t>
  </si>
  <si>
    <t>PER - MONSEÑOR FELIX RUIZ ESCUDERO</t>
  </si>
  <si>
    <t>REM - SANTA TERESA DE LOS ANDES</t>
  </si>
  <si>
    <t>PER - SANTA TERESA DE LOS ANDES</t>
  </si>
  <si>
    <t>QUILPUÉ</t>
  </si>
  <si>
    <t>PROVINCIA QUILLOTA, LA CRUZ</t>
  </si>
  <si>
    <t>RSP - HOGAR DE NIÑAS Y ADOLESCENTES ANITA CRUCHAGA</t>
  </si>
  <si>
    <t>PER HOGAR DE NIÑAS Y ADOLESCENTES ANITA CRUCHAGA</t>
  </si>
  <si>
    <t>ÑUÑOA</t>
  </si>
  <si>
    <t>RPL - HOGAR MISION DE MARIA</t>
  </si>
  <si>
    <t>PUENTE ALTO</t>
  </si>
  <si>
    <t>RPM - HOGAR DE NIÑAS NUESTRA SEÑORA DE LA PAZ</t>
  </si>
  <si>
    <t>RENCA</t>
  </si>
  <si>
    <t>REM - AMOR, PAZ Y ALEGRIA</t>
  </si>
  <si>
    <t>PER - AMOR, PAZ Y ALEGRIA</t>
  </si>
  <si>
    <t xml:space="preserve">PROVIDENCIA </t>
  </si>
  <si>
    <t>REM - HOGAR MARURI</t>
  </si>
  <si>
    <t>INDEPENDENCIA</t>
  </si>
  <si>
    <t>PER - HOGAR MARURI</t>
  </si>
  <si>
    <t>ESTACIÓN CENTRAL</t>
  </si>
  <si>
    <t>REM - HOGAR ARICA</t>
  </si>
  <si>
    <t>PER - HOGAR ARICA</t>
  </si>
  <si>
    <t>RPM - HOGAR ACOGEME</t>
  </si>
  <si>
    <t>MACUL</t>
  </si>
  <si>
    <t>CALERA DE TANGO</t>
  </si>
  <si>
    <t>RPM - RESIDENCIA RENUEVO</t>
  </si>
  <si>
    <t>PER - RESIDENCIA RENUEVO</t>
  </si>
  <si>
    <t>RECOLETA</t>
  </si>
  <si>
    <t>RPM - SAN PEDRO ARMENGOL</t>
  </si>
  <si>
    <t>SAN JOAQUÍN</t>
  </si>
  <si>
    <t>REM - LAS AZUCENAS</t>
  </si>
  <si>
    <t>PER - LAS AZUCENAS</t>
  </si>
  <si>
    <t>LA PINTANA</t>
  </si>
  <si>
    <t>REM - HOGAR ALDEA NAZARETH</t>
  </si>
  <si>
    <t>PER - HOGAR ALDEA NAZARETH</t>
  </si>
  <si>
    <t>REM - HOGAR DE NIÑAS LA GRANJA</t>
  </si>
  <si>
    <t>PER - HOGAR DE NIÑAS LA GRANJA</t>
  </si>
  <si>
    <t>REM - RESIDENCIA ALDEA BUEN CAMINO</t>
  </si>
  <si>
    <t>PER - RESIDENCIA ALDEA BUEN CAMINO</t>
  </si>
  <si>
    <t>REM - ALDEA INFANTIL SOS MADRESELVA</t>
  </si>
  <si>
    <t>PER - ALDEA INFANTIL SOS MADRESELVA</t>
  </si>
  <si>
    <t>RPM - RESIDENCIA PARA MAYORES ÑUÑOA</t>
  </si>
  <si>
    <t>QUINTA NORMAL</t>
  </si>
  <si>
    <t>RLP - HOGAR CASA SANTA CATALINA</t>
  </si>
  <si>
    <t>PER - HOGAR CASA SANTA CATALINA</t>
  </si>
  <si>
    <t xml:space="preserve">RLP </t>
  </si>
  <si>
    <t>CLA - CTA CASA SOFIA</t>
  </si>
  <si>
    <t>CLA - CTD ANDALUE</t>
  </si>
  <si>
    <t>14 a 17 años, 11 meses y 29 días</t>
  </si>
  <si>
    <t>RECURSOS REGIONALES</t>
  </si>
  <si>
    <t>RPM - HOGAR FAMILIA NAZARETH</t>
  </si>
  <si>
    <t>META PRESUPUESTARIA 2019 (12 PLAZAS PER  PARA LA  RPM - HOGAR FAMILIA NAZARETH - 1070320)</t>
  </si>
  <si>
    <t>REM - SAN JOSE DE CORONEL</t>
  </si>
  <si>
    <t>PER - SAN JOSE DE CORONEL</t>
  </si>
  <si>
    <t>6 a 12 años, 11 meses y 29 días</t>
  </si>
  <si>
    <t>REM - CALBUCO</t>
  </si>
  <si>
    <t>PER - CALBUCO</t>
  </si>
  <si>
    <t>CALBUCO</t>
  </si>
  <si>
    <t>SAN Javier, Villa Alegre, Colbun, Yerbas Buenas</t>
  </si>
  <si>
    <t>VALDIVIA O PAILLACO O LA UNIÓN</t>
  </si>
  <si>
    <t xml:space="preserve">REGIONAL </t>
  </si>
  <si>
    <t>RPL</t>
  </si>
  <si>
    <t>META PRESUPUESTARIA 2019 PER ALDEA MIS AMIGOS</t>
  </si>
  <si>
    <t>META PRESUPUESTARIA 2019 PER SAN PEDRO ARMENGOL</t>
  </si>
  <si>
    <t>RU 31-08-2019</t>
  </si>
  <si>
    <t>CERRADA</t>
  </si>
  <si>
    <t>TÉRMINO ANTICIPADO 
30-09-2018</t>
  </si>
  <si>
    <t>RU 30-08-2019</t>
  </si>
  <si>
    <t>TERMINO ANTICIPADO 
06-05-2019</t>
  </si>
  <si>
    <t>11º CONCURSO PÚBLICO-4952 - DESIERTO</t>
  </si>
  <si>
    <t>11º CONCURSO PÚBLICO-4947 - DESIERTO</t>
  </si>
  <si>
    <t>CERRADO</t>
  </si>
  <si>
    <t>AD RU 30-06-2019</t>
  </si>
  <si>
    <t>RLP - PREESCOLARES PLEYÁDES</t>
  </si>
  <si>
    <t>PER - PREESCOLARES PLEYÁDES</t>
  </si>
  <si>
    <t>Modelo Origen</t>
  </si>
  <si>
    <t>Etiquetas de fila</t>
  </si>
  <si>
    <t>Total general</t>
  </si>
  <si>
    <t>Etiquetas de columna</t>
  </si>
  <si>
    <t>(en blanco)</t>
  </si>
  <si>
    <t>modelo</t>
  </si>
  <si>
    <t>REGIÓN</t>
  </si>
  <si>
    <t xml:space="preserve">Total </t>
  </si>
  <si>
    <t>Nº PROYECTOS</t>
  </si>
  <si>
    <t>Nº PLAZAS</t>
  </si>
  <si>
    <t>Suma de MONTO ANUAL                              ($)</t>
  </si>
  <si>
    <t>TOTAL</t>
  </si>
  <si>
    <t>ANEXO Nº1</t>
  </si>
  <si>
    <t xml:space="preserve">ORIGEN RECURSOS ANEXO Nº1 </t>
  </si>
  <si>
    <t>MONTO ANUAL 
(incluye recursos de programas adosados, metas presupuestarias y reconversiones regionales)</t>
  </si>
  <si>
    <t>PROVINCIA DE LLANQUIHUE</t>
  </si>
  <si>
    <t>LÍNEA DE ACCIÓN</t>
  </si>
  <si>
    <t>MODALIDAD</t>
  </si>
  <si>
    <t>FOCALIZACIÓN TERRITORIAL</t>
  </si>
  <si>
    <t>NÚMERO DE PLAZAS</t>
  </si>
  <si>
    <t>SAN JAVIER, VILLA ALEGRE, COLBUN, YERBAS BUENAS</t>
  </si>
  <si>
    <t>EDAD *(sin perjuicio de excepciones por Orientaciones Técnicas)</t>
  </si>
  <si>
    <t xml:space="preserve">ANEXO Nº1  SUSTITUIDO : PLAZAS A LICITAR Y FOCALIZACIÓN TERRITORIAL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</si>
</sst>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_-&quot;$&quot;\ * #,##0_-;\-&quot;$&quot;\ * #,##0_-;_-&quot;$&quot;\ * &quot;-&quot;_-;_-@_-"/>
    <numFmt numFmtId="165" formatCode="_-* #,##0.00_-;\-* #,##0.00_-;_-* &quot;-&quot;??_-;_-@_-"/>
  </numFmts>
  <fonts count="41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6" fillId="0" borderId="55" applyNumberFormat="0" applyFill="0" applyAlignment="0" applyProtection="0"/>
    <xf numFmtId="0" fontId="27" fillId="0" borderId="56" applyNumberFormat="0" applyFill="0" applyAlignment="0" applyProtection="0"/>
    <xf numFmtId="0" fontId="28" fillId="0" borderId="57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58" applyNumberFormat="0" applyAlignment="0" applyProtection="0"/>
    <xf numFmtId="0" fontId="33" fillId="8" borderId="59" applyNumberFormat="0" applyAlignment="0" applyProtection="0"/>
    <xf numFmtId="0" fontId="34" fillId="8" borderId="58" applyNumberFormat="0" applyAlignment="0" applyProtection="0"/>
    <xf numFmtId="0" fontId="35" fillId="0" borderId="60" applyNumberFormat="0" applyFill="0" applyAlignment="0" applyProtection="0"/>
    <xf numFmtId="0" fontId="36" fillId="9" borderId="61" applyNumberFormat="0" applyAlignment="0" applyProtection="0"/>
    <xf numFmtId="0" fontId="37" fillId="0" borderId="0" applyNumberFormat="0" applyFill="0" applyBorder="0" applyAlignment="0" applyProtection="0"/>
    <xf numFmtId="0" fontId="20" fillId="10" borderId="62" applyNumberFormat="0" applyFont="0" applyAlignment="0" applyProtection="0"/>
    <xf numFmtId="0" fontId="38" fillId="0" borderId="0" applyNumberFormat="0" applyFill="0" applyBorder="0" applyAlignment="0" applyProtection="0"/>
    <xf numFmtId="0" fontId="19" fillId="0" borderId="63" applyNumberFormat="0" applyFill="0" applyAlignment="0" applyProtection="0"/>
    <xf numFmtId="0" fontId="3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39" fillId="34" borderId="0" applyNumberFormat="0" applyBorder="0" applyAlignment="0" applyProtection="0"/>
    <xf numFmtId="165" fontId="2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1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349">
    <xf numFmtId="0" fontId="0" fillId="0" borderId="0" xfId="0"/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/>
    <xf numFmtId="164" fontId="2" fillId="0" borderId="4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14" fontId="3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4" fontId="3" fillId="0" borderId="11" xfId="0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11" xfId="0" applyFont="1" applyFill="1" applyBorder="1" applyAlignment="1">
      <alignment vertical="center" wrapText="1"/>
    </xf>
    <xf numFmtId="164" fontId="3" fillId="0" borderId="8" xfId="0" applyNumberFormat="1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vertical="center"/>
    </xf>
    <xf numFmtId="0" fontId="0" fillId="0" borderId="0" xfId="0" applyFont="1"/>
    <xf numFmtId="0" fontId="7" fillId="0" borderId="0" xfId="0" applyFont="1" applyFill="1" applyBorder="1"/>
    <xf numFmtId="14" fontId="2" fillId="0" borderId="19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14" fontId="2" fillId="0" borderId="1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vertical="center"/>
    </xf>
    <xf numFmtId="0" fontId="3" fillId="0" borderId="36" xfId="0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vertical="center"/>
    </xf>
    <xf numFmtId="164" fontId="3" fillId="0" borderId="25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14" fontId="2" fillId="0" borderId="39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1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 wrapText="1"/>
    </xf>
    <xf numFmtId="14" fontId="11" fillId="0" borderId="4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12" fillId="0" borderId="4" xfId="0" applyFont="1" applyFill="1" applyBorder="1"/>
    <xf numFmtId="164" fontId="11" fillId="0" borderId="11" xfId="0" applyNumberFormat="1" applyFont="1" applyFill="1" applyBorder="1" applyAlignment="1">
      <alignment horizontal="right" vertical="center"/>
    </xf>
    <xf numFmtId="0" fontId="14" fillId="0" borderId="4" xfId="0" applyFont="1" applyFill="1" applyBorder="1"/>
    <xf numFmtId="0" fontId="14" fillId="0" borderId="4" xfId="0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vertical="center"/>
    </xf>
    <xf numFmtId="164" fontId="14" fillId="0" borderId="4" xfId="0" applyNumberFormat="1" applyFont="1" applyFill="1" applyBorder="1" applyAlignment="1">
      <alignment horizontal="center" vertical="center"/>
    </xf>
    <xf numFmtId="14" fontId="14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15" fillId="0" borderId="4" xfId="0" applyFont="1" applyFill="1" applyBorder="1"/>
    <xf numFmtId="164" fontId="14" fillId="0" borderId="0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4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vertical="center" wrapText="1"/>
    </xf>
    <xf numFmtId="14" fontId="2" fillId="0" borderId="37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4" fontId="3" fillId="0" borderId="1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164" fontId="3" fillId="0" borderId="5" xfId="0" applyNumberFormat="1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vertical="center" wrapText="1"/>
    </xf>
    <xf numFmtId="164" fontId="2" fillId="0" borderId="11" xfId="0" applyNumberFormat="1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14" fontId="2" fillId="0" borderId="8" xfId="0" applyNumberFormat="1" applyFont="1" applyFill="1" applyBorder="1" applyAlignment="1">
      <alignment vertical="center" wrapText="1"/>
    </xf>
    <xf numFmtId="164" fontId="2" fillId="0" borderId="25" xfId="0" applyNumberFormat="1" applyFont="1" applyFill="1" applyBorder="1" applyAlignment="1">
      <alignment vertical="center"/>
    </xf>
    <xf numFmtId="14" fontId="2" fillId="0" borderId="20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7" fillId="0" borderId="0" xfId="0" applyFont="1" applyFill="1"/>
    <xf numFmtId="0" fontId="3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16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4" fontId="11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14" fontId="2" fillId="0" borderId="38" xfId="0" applyNumberFormat="1" applyFont="1" applyFill="1" applyBorder="1" applyAlignment="1">
      <alignment horizontal="center" vertical="center" wrapText="1"/>
    </xf>
    <xf numFmtId="14" fontId="2" fillId="0" borderId="11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0" fillId="0" borderId="0" xfId="0" applyFill="1"/>
    <xf numFmtId="49" fontId="3" fillId="0" borderId="4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4" fontId="3" fillId="0" borderId="19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64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14" fontId="3" fillId="0" borderId="20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9" fillId="3" borderId="53" xfId="0" applyFont="1" applyFill="1" applyBorder="1" applyAlignment="1">
      <alignment horizontal="center" vertical="center"/>
    </xf>
    <xf numFmtId="0" fontId="19" fillId="3" borderId="5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4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wrapText="1"/>
    </xf>
    <xf numFmtId="0" fontId="24" fillId="3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NumberFormat="1" applyFont="1" applyBorder="1" applyAlignment="1">
      <alignment horizontal="center" vertical="center" wrapText="1"/>
    </xf>
    <xf numFmtId="0" fontId="24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23" fillId="0" borderId="4" xfId="0" applyNumberFormat="1" applyFont="1" applyBorder="1" applyAlignment="1">
      <alignment horizontal="center" vertical="center"/>
    </xf>
    <xf numFmtId="164" fontId="24" fillId="3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NumberFormat="1" applyBorder="1" applyAlignment="1">
      <alignment horizontal="center" vertical="center"/>
    </xf>
    <xf numFmtId="0" fontId="19" fillId="3" borderId="0" xfId="0" applyNumberFormat="1" applyFont="1" applyFill="1" applyBorder="1" applyAlignment="1">
      <alignment horizontal="center" vertical="center"/>
    </xf>
    <xf numFmtId="0" fontId="0" fillId="0" borderId="0" xfId="0"/>
    <xf numFmtId="16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35" borderId="4" xfId="0" applyFont="1" applyFill="1" applyBorder="1" applyAlignment="1">
      <alignment horizontal="center" vertical="center" wrapText="1"/>
    </xf>
    <xf numFmtId="0" fontId="3" fillId="35" borderId="4" xfId="0" applyFont="1" applyFill="1" applyBorder="1" applyAlignment="1">
      <alignment horizontal="center" vertical="center"/>
    </xf>
    <xf numFmtId="164" fontId="3" fillId="35" borderId="4" xfId="0" applyNumberFormat="1" applyFont="1" applyFill="1" applyBorder="1" applyAlignment="1">
      <alignment vertical="center"/>
    </xf>
    <xf numFmtId="164" fontId="3" fillId="35" borderId="4" xfId="0" applyNumberFormat="1" applyFont="1" applyFill="1" applyBorder="1" applyAlignment="1">
      <alignment horizontal="right" vertical="center"/>
    </xf>
    <xf numFmtId="164" fontId="3" fillId="35" borderId="4" xfId="0" applyNumberFormat="1" applyFont="1" applyFill="1" applyBorder="1" applyAlignment="1">
      <alignment horizontal="center" vertical="center"/>
    </xf>
    <xf numFmtId="0" fontId="2" fillId="35" borderId="4" xfId="0" applyFont="1" applyFill="1" applyBorder="1" applyAlignment="1">
      <alignment horizontal="center" vertical="center" wrapText="1"/>
    </xf>
    <xf numFmtId="0" fontId="3" fillId="35" borderId="20" xfId="0" applyFont="1" applyFill="1" applyBorder="1" applyAlignment="1">
      <alignment horizontal="center" vertical="center" wrapText="1"/>
    </xf>
    <xf numFmtId="0" fontId="3" fillId="35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 wrapText="1"/>
    </xf>
    <xf numFmtId="14" fontId="2" fillId="0" borderId="11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4" fontId="3" fillId="0" borderId="24" xfId="0" applyNumberFormat="1" applyFont="1" applyFill="1" applyBorder="1" applyAlignment="1">
      <alignment horizontal="center" vertical="center" wrapText="1"/>
    </xf>
    <xf numFmtId="14" fontId="3" fillId="0" borderId="25" xfId="0" applyNumberFormat="1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48" xfId="0" applyFont="1" applyFill="1" applyBorder="1" applyAlignment="1">
      <alignment horizontal="center" vertical="center" wrapText="1"/>
    </xf>
    <xf numFmtId="0" fontId="19" fillId="0" borderId="50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14" fontId="2" fillId="0" borderId="38" xfId="0" applyNumberFormat="1" applyFont="1" applyFill="1" applyBorder="1" applyAlignment="1">
      <alignment horizontal="center" vertical="center" wrapText="1"/>
    </xf>
    <xf numFmtId="14" fontId="2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4" fontId="2" fillId="0" borderId="17" xfId="0" applyNumberFormat="1" applyFont="1" applyFill="1" applyBorder="1" applyAlignment="1">
      <alignment horizontal="center" vertical="center" wrapText="1"/>
    </xf>
    <xf numFmtId="14" fontId="2" fillId="0" borderId="32" xfId="0" applyNumberFormat="1" applyFont="1" applyFill="1" applyBorder="1" applyAlignment="1">
      <alignment horizontal="center" vertical="center" wrapText="1"/>
    </xf>
    <xf numFmtId="14" fontId="2" fillId="0" borderId="32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4" fontId="11" fillId="0" borderId="11" xfId="0" applyNumberFormat="1" applyFont="1" applyFill="1" applyBorder="1" applyAlignment="1">
      <alignment horizontal="center" vertical="center" wrapText="1"/>
    </xf>
    <xf numFmtId="14" fontId="11" fillId="0" borderId="8" xfId="0" applyNumberFormat="1" applyFont="1" applyFill="1" applyBorder="1" applyAlignment="1">
      <alignment horizontal="center" vertical="center" wrapText="1"/>
    </xf>
    <xf numFmtId="164" fontId="11" fillId="0" borderId="11" xfId="0" applyNumberFormat="1" applyFont="1" applyFill="1" applyBorder="1" applyAlignment="1">
      <alignment horizontal="center" vertical="center" wrapText="1"/>
    </xf>
    <xf numFmtId="164" fontId="11" fillId="0" borderId="8" xfId="0" applyNumberFormat="1" applyFont="1" applyFill="1" applyBorder="1" applyAlignment="1">
      <alignment horizontal="center" vertical="center" wrapText="1"/>
    </xf>
    <xf numFmtId="164" fontId="11" fillId="0" borderId="13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vertical="center" wrapText="1"/>
    </xf>
    <xf numFmtId="14" fontId="11" fillId="0" borderId="13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</cellXfs>
  <cellStyles count="48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Millares [0] 2" xfId="45"/>
    <cellStyle name="Millares 2" xfId="41"/>
    <cellStyle name="Millares 3" xfId="46"/>
    <cellStyle name="Millares 4" xfId="47"/>
    <cellStyle name="Neutral" xfId="7" builtinId="28" customBuiltin="1"/>
    <cellStyle name="Normal" xfId="0" builtinId="0"/>
    <cellStyle name="Normal 5 4 2" xfId="42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4"/>
    <cellStyle name="Título 5" xfId="43"/>
    <cellStyle name="Total" xfId="16" builtinId="25" customBuiltin="1"/>
  </cellStyles>
  <dxfs count="3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santis" refreshedDate="43587.483316782411" createdVersion="6" refreshedVersion="6" minRefreshableVersion="3" recordCount="190">
  <cacheSource type="worksheet">
    <worksheetSource ref="A2:Z192" sheet="Hoja2"/>
  </cacheSource>
  <cacheFields count="26">
    <cacheField name="REGIÓN " numFmtId="0">
      <sharedItems containsSemiMixedTypes="0" containsString="0" containsNumber="1" containsInteger="1" minValue="1" maxValue="16" count="1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</sharedItems>
    </cacheField>
    <cacheField name="CÓDIGO LICITACIÓN" numFmtId="0">
      <sharedItems containsString="0" containsBlank="1" containsNumber="1" containsInteger="1" minValue="5486" maxValue="5570"/>
    </cacheField>
    <cacheField name="TIPO" numFmtId="0">
      <sharedItems containsBlank="1"/>
    </cacheField>
    <cacheField name="MODELO" numFmtId="0">
      <sharedItems containsBlank="1" count="12">
        <s v="RPE"/>
        <s v="PRE"/>
        <s v="PPE"/>
        <s v="REM "/>
        <s v="PER"/>
        <s v="RSP"/>
        <s v="PPE "/>
        <s v="REM"/>
        <s v="RLP"/>
        <m/>
        <s v="RPM"/>
        <s v="RLP "/>
      </sharedItems>
    </cacheField>
    <cacheField name="COMUNA BASE PREFERENTE" numFmtId="0">
      <sharedItems containsBlank="1"/>
    </cacheField>
    <cacheField name="FOCALIZACIÓN" numFmtId="0">
      <sharedItems containsBlank="1"/>
    </cacheField>
    <cacheField name="COBERTURA" numFmtId="0">
      <sharedItems containsString="0" containsBlank="1" containsNumber="1" containsInteger="1" minValue="10" maxValue="60" count="19">
        <n v="20"/>
        <n v="29"/>
        <n v="12"/>
        <n v="30"/>
        <n v="25"/>
        <n v="15"/>
        <n v="21"/>
        <n v="40"/>
        <n v="22"/>
        <n v="23"/>
        <m/>
        <n v="38"/>
        <n v="27"/>
        <n v="10"/>
        <n v="17"/>
        <n v="35"/>
        <n v="16"/>
        <n v="60"/>
        <n v="19"/>
      </sharedItems>
    </cacheField>
    <cacheField name="CVF" numFmtId="0">
      <sharedItems containsBlank="1"/>
    </cacheField>
    <cacheField name="EDAD" numFmtId="0">
      <sharedItems containsBlank="1"/>
    </cacheField>
    <cacheField name="SEXO" numFmtId="0">
      <sharedItems containsBlank="1"/>
    </cacheField>
    <cacheField name="COSTO NIÑO MES" numFmtId="164">
      <sharedItems containsString="0" containsBlank="1" containsNumber="1" minValue="151125" maxValue="742462.5"/>
    </cacheField>
    <cacheField name="MONTO ANUAL" numFmtId="164">
      <sharedItems containsString="0" containsBlank="1" containsNumber="1" minValue="18135000" maxValue="214461000"/>
    </cacheField>
    <cacheField name="MONTO PERIODO A LICITAR" numFmtId="164">
      <sharedItems containsString="0" containsBlank="1" containsNumber="1" minValue="18135000" maxValue="214461000"/>
    </cacheField>
    <cacheField name="PERIODO A LICITAR (AÑOS)" numFmtId="0">
      <sharedItems containsString="0" containsBlank="1" containsNumber="1" containsInteger="1" minValue="1" maxValue="1"/>
    </cacheField>
    <cacheField name="Región" numFmtId="0">
      <sharedItems containsBlank="1" containsMixedTypes="1" containsNumber="1" containsInteger="1" minValue="1" maxValue="16"/>
    </cacheField>
    <cacheField name="Modelo Origen" numFmtId="0">
      <sharedItems containsBlank="1" count="12">
        <s v="REM"/>
        <m/>
        <s v="PER"/>
        <s v="RPM"/>
        <s v="RSP"/>
        <s v="RLP"/>
        <s v="CLA"/>
        <s v="RPP"/>
        <s v="RPL"/>
        <s v="META PRESUPUESTARIA 2019 PER SAN PEDRO ARMENGOL"/>
        <s v="META PRESUPUESTARIA 2019 PER ALDEA MIS AMIGOS"/>
        <s v="RECURSOS REGIONALES"/>
      </sharedItems>
    </cacheField>
    <cacheField name="CodProyecto" numFmtId="0">
      <sharedItems containsBlank="1" containsMixedTypes="1" containsNumber="1" containsInteger="1" minValue="1010121" maxValue="1150074"/>
    </cacheField>
    <cacheField name="Nombre" numFmtId="0">
      <sharedItems containsBlank="1"/>
    </cacheField>
    <cacheField name="Nº Plazas" numFmtId="0">
      <sharedItems containsString="0" containsBlank="1" containsNumber="1" containsInteger="1" minValue="8" maxValue="90"/>
    </cacheField>
    <cacheField name="Edad Mínima" numFmtId="0">
      <sharedItems containsString="0" containsBlank="1" containsNumber="1" containsInteger="1" minValue="0" maxValue="12"/>
    </cacheField>
    <cacheField name="Edad Máxima" numFmtId="0">
      <sharedItems containsString="0" containsBlank="1" containsNumber="1" containsInteger="1" minValue="2" maxValue="18"/>
    </cacheField>
    <cacheField name="Sexo2" numFmtId="0">
      <sharedItems containsBlank="1"/>
    </cacheField>
    <cacheField name="Comuna" numFmtId="0">
      <sharedItems containsBlank="1"/>
    </cacheField>
    <cacheField name="Fecha_x000a_ Inicio" numFmtId="0">
      <sharedItems containsNonDate="0" containsDate="1" containsString="0" containsBlank="1" minDate="2005-12-01T00:00:00" maxDate="2018-02-04T00:00:00"/>
    </cacheField>
    <cacheField name="Fecha_x000a_ Término" numFmtId="0">
      <sharedItems containsDate="1" containsBlank="1" containsMixedTypes="1" minDate="2019-04-14T00:00:00" maxDate="2019-08-18T00:00:00"/>
    </cacheField>
    <cacheField name="MONTO ANUAL                              ($)" numFmtId="0">
      <sharedItems containsString="0" containsBlank="1" containsNumber="1" minValue="9067500" maxValue="2632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0">
  <r>
    <x v="0"/>
    <n v="5486"/>
    <s v="R - CENTROS RESIDENCIALES"/>
    <x v="0"/>
    <s v="IQUIQUE"/>
    <s v="REGIONAL"/>
    <x v="0"/>
    <s v="NO"/>
    <s v="6 a 17 años, 11 meses y 29 días"/>
    <s v="F"/>
    <n v="529181.25"/>
    <n v="127003500"/>
    <n v="127003500"/>
    <n v="1"/>
    <n v="1"/>
    <x v="0"/>
    <n v="1010157"/>
    <s v="REM - CODITFAM RESIDENCIAL IQUIQUE"/>
    <n v="38"/>
    <m/>
    <m/>
    <m/>
    <s v="IQUIQUE"/>
    <m/>
    <d v="2019-06-06T00:00:00"/>
    <n v="201626100"/>
  </r>
  <r>
    <x v="0"/>
    <n v="5486"/>
    <s v="P - PROGRAMAS"/>
    <x v="1"/>
    <s v="IQUIQUE"/>
    <s v="REGIONAL"/>
    <x v="0"/>
    <s v="N/A"/>
    <s v="6 a 17 años, 11 meses y 29 días"/>
    <s v="F"/>
    <n v="193440.00000000003"/>
    <n v="46425600.000000007"/>
    <n v="46425600.000000007"/>
    <n v="1"/>
    <m/>
    <x v="1"/>
    <m/>
    <m/>
    <m/>
    <m/>
    <m/>
    <m/>
    <m/>
    <m/>
    <m/>
    <m/>
  </r>
  <r>
    <x v="0"/>
    <n v="5486"/>
    <s v="P - PROGRAMAS"/>
    <x v="2"/>
    <s v="IQUIQUE"/>
    <s v="REGIONAL"/>
    <x v="0"/>
    <s v="N/A"/>
    <s v="6 a 17 años, 11 meses y 29 días"/>
    <s v="F"/>
    <n v="193440.00000000003"/>
    <n v="46425600.000000007"/>
    <n v="46425600.000000007"/>
    <n v="1"/>
    <n v="1"/>
    <x v="2"/>
    <n v="1010158"/>
    <s v="PER - CODITFAM RESIDENCIAL IQUIQUE"/>
    <n v="20"/>
    <m/>
    <m/>
    <m/>
    <s v="IQUIQUE"/>
    <m/>
    <d v="2019-06-06T00:00:00"/>
    <n v="46425600"/>
  </r>
  <r>
    <x v="0"/>
    <n v="5487"/>
    <s v="R - CENTROS RESIDENCIALES"/>
    <x v="3"/>
    <s v="IQUIQUE"/>
    <s v="REGIONAL"/>
    <x v="0"/>
    <s v="NO"/>
    <s v="6 a 17 años, 11 meses y 29 días"/>
    <s v="M"/>
    <n v="452400.00000000006"/>
    <n v="108576000.00000003"/>
    <n v="108576000.00000003"/>
    <n v="1"/>
    <n v="1"/>
    <x v="0"/>
    <n v="1010122"/>
    <s v="REM - TENIENTE HERNAN MERINO CORREA"/>
    <n v="32"/>
    <m/>
    <m/>
    <m/>
    <s v="IQUIQUE"/>
    <d v="2011-07-01T00:00:00"/>
    <s v="RU 31-08-2019"/>
    <n v="169790400"/>
  </r>
  <r>
    <x v="0"/>
    <n v="5487"/>
    <s v="P - PROGRAMAS"/>
    <x v="4"/>
    <s v="IQUIQUE"/>
    <s v="REGIONAL"/>
    <x v="0"/>
    <s v="N/A"/>
    <s v="6 a 17 años, 11 meses y 29 días"/>
    <s v="M"/>
    <n v="193440.00000000003"/>
    <n v="46425600.000000007"/>
    <n v="46425600.000000007"/>
    <n v="1"/>
    <n v="1"/>
    <x v="2"/>
    <n v="1010121"/>
    <s v="PER - CENTRO RESIDENCIAL TENIENTE HERNAN MERINO CORREA"/>
    <n v="16"/>
    <m/>
    <m/>
    <m/>
    <s v="IQUIQUE"/>
    <d v="2011-07-01T00:00:00"/>
    <s v="RU 31-08-2019"/>
    <n v="37140480"/>
  </r>
  <r>
    <x v="0"/>
    <n v="5488"/>
    <s v="R - CENTROS RESIDENCIALES"/>
    <x v="3"/>
    <s v="IQUIQUE"/>
    <s v="REGIONAL"/>
    <x v="1"/>
    <s v="SI"/>
    <s v="6 a 11 años, 11 meses y 29 días"/>
    <s v="F"/>
    <n v="447281.25"/>
    <n v="155653875"/>
    <n v="155653875"/>
    <n v="1"/>
    <n v="1"/>
    <x v="3"/>
    <n v="1010123"/>
    <s v="RPM - RESIDENCIA NUESTRA SEÑORA DE LA ESPERANZA"/>
    <n v="27"/>
    <m/>
    <m/>
    <m/>
    <s v="IQUIQUE"/>
    <d v="2011-07-01T00:00:00"/>
    <s v="RU 31-08-2019"/>
    <n v="144919125"/>
  </r>
  <r>
    <x v="0"/>
    <n v="5488"/>
    <s v="P - PROGRAMAS"/>
    <x v="4"/>
    <s v="IQUIQUE"/>
    <s v="REGIONAL"/>
    <x v="1"/>
    <s v="N/A"/>
    <s v="6 a 11 años, 11 meses y 29 días"/>
    <s v="F"/>
    <n v="193440.00000000003"/>
    <n v="67317120.000000015"/>
    <n v="67317120.000000015"/>
    <n v="1"/>
    <m/>
    <x v="1"/>
    <m/>
    <m/>
    <m/>
    <m/>
    <m/>
    <m/>
    <m/>
    <m/>
    <m/>
    <m/>
  </r>
  <r>
    <x v="1"/>
    <n v="5489"/>
    <s v="R - CENTROS RESIDENCIALES"/>
    <x v="0"/>
    <s v="ANTOFAGASTA"/>
    <s v="REGIONAL"/>
    <x v="2"/>
    <s v="NO"/>
    <s v="12 a 17 años, 11 meses y 29 días"/>
    <s v="F"/>
    <n v="529181.25"/>
    <n v="76202100"/>
    <n v="76202100"/>
    <n v="1"/>
    <n v="2"/>
    <x v="0"/>
    <n v="1020181"/>
    <s v="REM - LAURA VICUÑA"/>
    <n v="17"/>
    <n v="0"/>
    <n v="17"/>
    <s v="F"/>
    <s v="ANTOFAGASTA"/>
    <d v="2011-07-01T00:00:00"/>
    <s v="RU 30-06-2019"/>
    <n v="92289600.000000015"/>
  </r>
  <r>
    <x v="1"/>
    <n v="5489"/>
    <s v="P - PROGRAMAS"/>
    <x v="1"/>
    <s v="ANTOFAGASTA"/>
    <s v="REGIONAL"/>
    <x v="2"/>
    <s v="N/A"/>
    <s v="12 a 17 años, 11 meses y 29 días"/>
    <s v="F"/>
    <n v="193440.00000000003"/>
    <n v="27855360.000000007"/>
    <n v="27855360.000000007"/>
    <n v="1"/>
    <n v="2"/>
    <x v="2"/>
    <n v="1020182"/>
    <s v="PER - LAURA VICUÑA"/>
    <n v="15"/>
    <n v="0"/>
    <n v="17"/>
    <s v="F"/>
    <s v="ANTOFAGASTA"/>
    <d v="2011-07-01T00:00:00"/>
    <s v="RU 30-06-2019"/>
    <n v="34819200.000000007"/>
  </r>
  <r>
    <x v="1"/>
    <n v="5489"/>
    <s v="P - PROGRAMAS"/>
    <x v="2"/>
    <s v="ANTOFAGASTA"/>
    <s v="REGIONAL"/>
    <x v="2"/>
    <s v="N/A"/>
    <s v="12 a 17 años, 11 meses y 29 días"/>
    <s v="F"/>
    <n v="193440.00000000003"/>
    <n v="27855360.000000007"/>
    <n v="27855360.000000007"/>
    <n v="1"/>
    <s v="RECURSOS REGIONALES"/>
    <x v="1"/>
    <m/>
    <m/>
    <m/>
    <m/>
    <m/>
    <m/>
    <m/>
    <m/>
    <m/>
    <m/>
  </r>
  <r>
    <x v="1"/>
    <n v="5490"/>
    <s v="R - CENTROS RESIDENCIALES"/>
    <x v="5"/>
    <s v="CALAMA"/>
    <s v="REGIONAL"/>
    <x v="2"/>
    <s v="NO"/>
    <s v="12 a 17 años, 11 meses y 29 días"/>
    <s v="M"/>
    <n v="529181.25"/>
    <n v="76202100"/>
    <n v="76202100"/>
    <n v="1"/>
    <n v="2"/>
    <x v="0"/>
    <n v="1020184"/>
    <s v="REM - RESIDENCIA INFANTO ADOLESCENTE PADRE ALBERTO HURTADO"/>
    <n v="20"/>
    <n v="6"/>
    <n v="17"/>
    <s v="F"/>
    <s v="CALAMA"/>
    <d v="2011-07-01T00:00:00"/>
    <s v="CERRADA"/>
    <n v="127003500"/>
  </r>
  <r>
    <x v="1"/>
    <n v="5490"/>
    <s v="P - PROGRAMAS"/>
    <x v="4"/>
    <s v="CALAMA"/>
    <s v="REGIONAL"/>
    <x v="2"/>
    <s v="N/A"/>
    <s v="12 a 17 años, 11 meses y 29 días"/>
    <s v="M"/>
    <n v="193440.00000000003"/>
    <n v="27855360.000000007"/>
    <n v="27855360.000000007"/>
    <n v="1"/>
    <n v="2"/>
    <x v="2"/>
    <n v="1020183"/>
    <s v="PER - INFANTO ADOLESCENTE PADRE ALBERTO HURTADO"/>
    <n v="20"/>
    <n v="6"/>
    <n v="17"/>
    <s v="F"/>
    <s v="CALAMA"/>
    <d v="2011-07-01T00:00:00"/>
    <s v="CERRADA"/>
    <n v="46425600.000000007"/>
  </r>
  <r>
    <x v="1"/>
    <n v="5491"/>
    <s v="R - CENTROS RESIDENCIALES"/>
    <x v="0"/>
    <s v="CALAMA"/>
    <s v="REGIONAL"/>
    <x v="2"/>
    <s v="NO"/>
    <s v="12 a 17 años, 11 meses y 29 días"/>
    <s v="F"/>
    <n v="529181.25"/>
    <n v="76202100"/>
    <n v="76202100"/>
    <n v="1"/>
    <s v="META PRESUPUESTARIA 2019"/>
    <x v="1"/>
    <m/>
    <m/>
    <m/>
    <m/>
    <m/>
    <m/>
    <m/>
    <m/>
    <m/>
    <n v="76202100"/>
  </r>
  <r>
    <x v="1"/>
    <n v="5491"/>
    <s v="P - PROGRAMAS"/>
    <x v="1"/>
    <s v="CALAMA"/>
    <s v="REGIONAL"/>
    <x v="2"/>
    <s v="N/A"/>
    <s v="12 a 17 años, 11 meses y 29 días"/>
    <s v="F"/>
    <n v="193440.00000000003"/>
    <n v="27855360.000000007"/>
    <n v="27855360.000000007"/>
    <n v="1"/>
    <m/>
    <x v="1"/>
    <m/>
    <m/>
    <m/>
    <m/>
    <m/>
    <m/>
    <m/>
    <m/>
    <m/>
    <n v="27855360.000000007"/>
  </r>
  <r>
    <x v="1"/>
    <n v="5491"/>
    <s v="P - PROGRAMAS"/>
    <x v="6"/>
    <s v="CALAMA"/>
    <s v="REGIONAL"/>
    <x v="2"/>
    <s v="N/A"/>
    <s v="12 a 17 años, 11 meses y 29 días"/>
    <s v="F"/>
    <n v="193440.00000000003"/>
    <n v="27855360.000000007"/>
    <n v="27855360.000000007"/>
    <n v="1"/>
    <m/>
    <x v="1"/>
    <m/>
    <m/>
    <m/>
    <m/>
    <m/>
    <m/>
    <m/>
    <m/>
    <m/>
    <n v="27855360.000000007"/>
  </r>
  <r>
    <x v="2"/>
    <n v="5492"/>
    <s v="R - CENTROS RESIDENCIALES"/>
    <x v="3"/>
    <s v="COPIAPÓ"/>
    <s v="REGIONAL"/>
    <x v="3"/>
    <s v="NO"/>
    <s v="6 a 17 años, 11 meses y 29 días"/>
    <s v="F"/>
    <n v="408037.5"/>
    <n v="146893500"/>
    <n v="146893500"/>
    <n v="1"/>
    <n v="3"/>
    <x v="0"/>
    <n v="1030258"/>
    <s v="REM - RESIDENCIA AMIGO ARAGÓN"/>
    <n v="30"/>
    <m/>
    <m/>
    <m/>
    <s v="COPIAPÓ"/>
    <d v="2017-04-01T00:00:00"/>
    <s v="TÉRMINO ANTICIPADO _x000a_30-09-2018"/>
    <n v="146893500"/>
  </r>
  <r>
    <x v="2"/>
    <n v="5492"/>
    <s v="P - PROGRAMAS"/>
    <x v="4"/>
    <s v="COPIAPÓ"/>
    <s v="REGIONAL"/>
    <x v="3"/>
    <s v="N/A"/>
    <s v="6 a 17 años, 11 meses y 29 días"/>
    <s v="F"/>
    <n v="172282.5"/>
    <n v="62021700"/>
    <n v="62021700"/>
    <n v="1"/>
    <n v="3"/>
    <x v="2"/>
    <n v="1030259"/>
    <s v="PER - RESIDENCIA AMIGO ARAGÓN"/>
    <n v="15"/>
    <m/>
    <m/>
    <m/>
    <s v="COPIAPÓ"/>
    <d v="2014-04-01T00:00:00"/>
    <s v="TÉRMINO ANTICIPADO _x000a_30-09-2018"/>
    <n v="31010850.000000007"/>
  </r>
  <r>
    <x v="2"/>
    <n v="5493"/>
    <s v="R - CENTROS RESIDENCIALES"/>
    <x v="7"/>
    <s v="VALLENAR"/>
    <s v="REGIONAL"/>
    <x v="0"/>
    <s v="NO"/>
    <s v="6 a 17 años, 11 meses y 29 días"/>
    <s v="A"/>
    <n v="418275.00000000006"/>
    <n v="100386000.00000001"/>
    <n v="100386000.00000001"/>
    <n v="1"/>
    <n v="3"/>
    <x v="0"/>
    <n v="1030275"/>
    <s v="REM - RESIDENCIA ALMA"/>
    <n v="20"/>
    <n v="6"/>
    <n v="18"/>
    <s v="A"/>
    <s v="VALLENAR"/>
    <d v="2017-05-01T00:00:00"/>
    <s v="RU 30-06-2019"/>
    <n v="100386000.00000001"/>
  </r>
  <r>
    <x v="2"/>
    <n v="5493"/>
    <s v="P - PROGRAMAS"/>
    <x v="4"/>
    <s v="VALLENAR"/>
    <s v="REGIONAL"/>
    <x v="0"/>
    <s v="N/A"/>
    <s v="6 a 17 años, 11 meses y 29 días"/>
    <s v="A"/>
    <n v="172282.5"/>
    <n v="41347800"/>
    <n v="41347800"/>
    <n v="1"/>
    <n v="3"/>
    <x v="2"/>
    <n v="1030276"/>
    <s v="PER - RESIDENCIA ALMA"/>
    <n v="20"/>
    <n v="6"/>
    <n v="18"/>
    <s v="A"/>
    <s v="VALLENAR"/>
    <d v="2017-05-01T00:00:00"/>
    <s v="RU 30-06-2019"/>
    <n v="41347800"/>
  </r>
  <r>
    <x v="2"/>
    <n v="5494"/>
    <s v="R - CENTROS RESIDENCIALES"/>
    <x v="0"/>
    <s v="COPIAPÓ"/>
    <s v="REGIONAL"/>
    <x v="0"/>
    <s v="NO"/>
    <m/>
    <s v="A"/>
    <n v="495056.25"/>
    <n v="118813500"/>
    <n v="118813500"/>
    <n v="1"/>
    <n v="3"/>
    <x v="4"/>
    <n v="1030200"/>
    <s v="RSP - EMMANUEL"/>
    <n v="20"/>
    <m/>
    <m/>
    <s v="M"/>
    <s v="COPIAPÓ"/>
    <d v="2014-05-16T00:00:00"/>
    <s v="CERRADA"/>
    <n v="118813500"/>
  </r>
  <r>
    <x v="2"/>
    <n v="5494"/>
    <s v="P - PROGRAMAS"/>
    <x v="1"/>
    <s v="COPIAPÓ"/>
    <s v="REGIONAL"/>
    <x v="0"/>
    <s v="N/A"/>
    <m/>
    <s v="A"/>
    <n v="172282.5"/>
    <n v="41347800"/>
    <n v="41347800"/>
    <n v="1"/>
    <n v="3"/>
    <x v="2"/>
    <n v="1030201"/>
    <s v="PER - EMMANUEL"/>
    <n v="20"/>
    <m/>
    <m/>
    <s v="M"/>
    <s v="COPIAPÓ"/>
    <d v="2014-05-16T00:00:00"/>
    <s v="CERRADA"/>
    <n v="41347800"/>
  </r>
  <r>
    <x v="2"/>
    <n v="5494"/>
    <s v="P - PROGRAMAS"/>
    <x v="6"/>
    <s v="COPIAPÓ"/>
    <s v="REGIONAL"/>
    <x v="0"/>
    <s v="N/A"/>
    <m/>
    <s v="A"/>
    <n v="172282.5"/>
    <n v="41347800"/>
    <n v="41347800"/>
    <n v="1"/>
    <s v="RECURSOS REGIONALES DEL RSP/PER - TIKUNA (RESIDENCIA CERRADA)"/>
    <x v="1"/>
    <m/>
    <m/>
    <m/>
    <m/>
    <m/>
    <m/>
    <m/>
    <m/>
    <m/>
    <n v="41347800"/>
  </r>
  <r>
    <x v="2"/>
    <n v="5495"/>
    <s v="R - CENTROS RESIDENCIALES"/>
    <x v="8"/>
    <s v="COPIAPÓ"/>
    <s v="REGIONAL"/>
    <x v="3"/>
    <s v="NO"/>
    <s v="0 a 5 años, 11 meses y 29 días"/>
    <s v="A"/>
    <n v="561600"/>
    <n v="202176000"/>
    <n v="202176000"/>
    <n v="1"/>
    <n v="3"/>
    <x v="5"/>
    <n v="1030277"/>
    <s v="RLP - NAZARETH"/>
    <n v="30"/>
    <n v="0"/>
    <n v="6"/>
    <s v="A"/>
    <s v="COPIAPÓ"/>
    <d v="2017-08-15T00:00:00"/>
    <d v="2019-08-17T00:00:00"/>
    <n v="202176000"/>
  </r>
  <r>
    <x v="2"/>
    <n v="5495"/>
    <s v="P - PROGRAMAS"/>
    <x v="4"/>
    <s v="COPIAPÓ"/>
    <s v="REGIONAL"/>
    <x v="3"/>
    <s v="N/A"/>
    <s v="0 a 5 años, 11 meses y 29 días"/>
    <s v="A"/>
    <n v="172282.5"/>
    <n v="62021700"/>
    <n v="62021700"/>
    <n v="1"/>
    <n v="3"/>
    <x v="2"/>
    <n v="1030278"/>
    <s v="PER - NAZARETH"/>
    <n v="30"/>
    <n v="0"/>
    <n v="6"/>
    <s v="A"/>
    <s v="COPIAPÓ"/>
    <d v="2017-08-15T00:00:00"/>
    <d v="2019-08-17T00:00:00"/>
    <n v="62021700"/>
  </r>
  <r>
    <x v="3"/>
    <n v="5496"/>
    <s v="R - CENTROS RESIDENCIALES"/>
    <x v="8"/>
    <s v="COQUIMBO"/>
    <s v="REGIONAL"/>
    <x v="4"/>
    <s v="NO"/>
    <s v="0 a 2 años, 11 meses y 29 días"/>
    <s v="A"/>
    <n v="561600"/>
    <n v="168480000"/>
    <n v="168480000"/>
    <n v="1"/>
    <n v="4"/>
    <x v="6"/>
    <n v="1040069"/>
    <s v="CLA - CTRO. DIAG. PARA LACTANTES STA MAR"/>
    <n v="30"/>
    <n v="0"/>
    <n v="2"/>
    <s v="A"/>
    <s v="COQUIMBO"/>
    <d v="2005-12-15T00:00:00"/>
    <s v="RU 30-06-2019"/>
    <n v="226746000.00000006"/>
  </r>
  <r>
    <x v="3"/>
    <n v="5496"/>
    <s v="P - PROGRAMAS"/>
    <x v="4"/>
    <s v="COQUIMBO"/>
    <s v="REGIONAL"/>
    <x v="4"/>
    <s v="N/A"/>
    <s v="0 a 2 años, 11 meses y 29 días"/>
    <s v="A"/>
    <n v="172282.5"/>
    <n v="51684750"/>
    <n v="51684750"/>
    <n v="1"/>
    <m/>
    <x v="1"/>
    <m/>
    <m/>
    <m/>
    <m/>
    <m/>
    <m/>
    <m/>
    <m/>
    <m/>
    <m/>
  </r>
  <r>
    <x v="3"/>
    <n v="5497"/>
    <s v="R - CENTROS RESIDENCIALES"/>
    <x v="5"/>
    <s v="LA SERENA"/>
    <s v="REGIONAL"/>
    <x v="2"/>
    <s v="NO"/>
    <s v="12 a 17 años, 11 meses y 29 días"/>
    <s v="F"/>
    <n v="495056.25"/>
    <n v="71288100"/>
    <n v="71288100"/>
    <n v="1"/>
    <n v="4"/>
    <x v="4"/>
    <n v="1040181"/>
    <s v="RSP - RIMANAKUY"/>
    <n v="15"/>
    <n v="12"/>
    <n v="18"/>
    <s v="F"/>
    <s v="LA SERENA"/>
    <d v="2012-07-10T00:00:00"/>
    <s v="RU 30-06-2019"/>
    <n v="89110125"/>
  </r>
  <r>
    <x v="3"/>
    <n v="5497"/>
    <s v="P - PROGRAMAS"/>
    <x v="4"/>
    <s v="LA SERENA"/>
    <s v="REGIONAL"/>
    <x v="2"/>
    <s v="N/A"/>
    <s v="12 a 17 años, 11 meses y 29 días"/>
    <s v="F"/>
    <n v="172282.5"/>
    <n v="24808680"/>
    <n v="24808680"/>
    <n v="1"/>
    <n v="4"/>
    <x v="2"/>
    <n v="1040182"/>
    <s v="PER - RIMANAKUY"/>
    <n v="15"/>
    <n v="12"/>
    <n v="18"/>
    <s v="F"/>
    <s v="LA SERENA"/>
    <d v="2012-07-10T00:00:00"/>
    <s v="RU 30-06-2019"/>
    <n v="31010850"/>
  </r>
  <r>
    <x v="3"/>
    <n v="5498"/>
    <s v="R - CENTROS RESIDENCIALES"/>
    <x v="5"/>
    <s v="LA SERENA"/>
    <s v="REGIONAL"/>
    <x v="2"/>
    <s v="NO"/>
    <s v="12 a 17 años, 11 meses y 29 días"/>
    <s v="M"/>
    <n v="495056.25"/>
    <n v="71288100"/>
    <n v="71288100"/>
    <n v="1"/>
    <n v="4"/>
    <x v="3"/>
    <n v="1040183"/>
    <s v="RPM - RESIDENCIA INFANTO ADOLESCENTE HATARY"/>
    <n v="20"/>
    <n v="6"/>
    <n v="18"/>
    <s v="M"/>
    <s v="LA SERENA"/>
    <d v="2012-07-17T00:00:00"/>
    <s v="RU 30-06-2019"/>
    <n v="100386000"/>
  </r>
  <r>
    <x v="3"/>
    <n v="5498"/>
    <s v="P - PROGRAMAS"/>
    <x v="4"/>
    <s v="LA SERENA"/>
    <s v="REGIONAL"/>
    <x v="2"/>
    <s v="N/A"/>
    <s v="12 a 17 años, 11 meses y 29 días"/>
    <s v="M"/>
    <n v="172282.5"/>
    <n v="24808680"/>
    <n v="24808680"/>
    <n v="1"/>
    <m/>
    <x v="1"/>
    <m/>
    <m/>
    <m/>
    <m/>
    <m/>
    <m/>
    <m/>
    <m/>
    <m/>
    <m/>
  </r>
  <r>
    <x v="3"/>
    <n v="5499"/>
    <s v="R - CENTROS RESIDENCIALES"/>
    <x v="7"/>
    <s v="LOS VILOS"/>
    <s v="REGIONAL"/>
    <x v="0"/>
    <s v="NO"/>
    <s v="6 a 11 años, 11 meses y 29 días"/>
    <s v="A"/>
    <n v="418275.00000000006"/>
    <n v="100386000.00000001"/>
    <n v="100386000.00000001"/>
    <n v="1"/>
    <n v="4"/>
    <x v="0"/>
    <n v="1040266"/>
    <s v="REM - LAURA VICUÑA"/>
    <n v="30"/>
    <n v="6"/>
    <n v="17"/>
    <s v="A"/>
    <s v="LOS VILOS"/>
    <d v="2016-02-08T00:00:00"/>
    <s v="RU 30-06-2019"/>
    <n v="146893500.00000003"/>
  </r>
  <r>
    <x v="3"/>
    <n v="5499"/>
    <s v="P - PROGRAMAS"/>
    <x v="4"/>
    <s v="LOS VILOS"/>
    <s v="REGIONAL"/>
    <x v="0"/>
    <s v="N/A"/>
    <s v="6 a 11 años, 11 meses y 29 días"/>
    <s v="A"/>
    <n v="172282.5"/>
    <n v="41347800"/>
    <n v="41347800"/>
    <n v="1"/>
    <n v="4"/>
    <x v="2"/>
    <n v="1040267"/>
    <s v="PER - LAURA VICUÑA"/>
    <n v="20"/>
    <n v="6"/>
    <n v="17"/>
    <s v="A"/>
    <s v="LOS VILOS"/>
    <d v="2016-02-08T00:00:00"/>
    <s v="RU 30-06-2019"/>
    <n v="41347800"/>
  </r>
  <r>
    <x v="3"/>
    <n v="5500"/>
    <s v="R - CENTROS RESIDENCIALES"/>
    <x v="7"/>
    <s v="LA SERENA, COQUIMBO, VICUÑA, PAIHUANO"/>
    <s v="REGIONAL"/>
    <x v="5"/>
    <s v="NO"/>
    <s v="12 a 17 años, 11 meses y 29 días"/>
    <s v="F"/>
    <n v="418275.00000000006"/>
    <n v="75289500.000000015"/>
    <n v="75289500.000000015"/>
    <n v="1"/>
    <s v="RECURSOS REGIONALES "/>
    <x v="1"/>
    <m/>
    <m/>
    <m/>
    <m/>
    <m/>
    <m/>
    <m/>
    <m/>
    <m/>
    <m/>
  </r>
  <r>
    <x v="3"/>
    <n v="5500"/>
    <s v="P - PROGRAMAS"/>
    <x v="4"/>
    <s v="LA SERENA, COQUIMBO, VICUÑA, PAIHUANO"/>
    <s v="REGIONAL"/>
    <x v="5"/>
    <s v="N/A"/>
    <s v="12 a 17 años, 11 meses y 29 días"/>
    <s v="F"/>
    <n v="172282.5"/>
    <n v="31010850"/>
    <n v="31010850"/>
    <n v="1"/>
    <s v="META PRESUPUESTARIA 2019 (AUMENTO DE 10 PLAZAS PARA EL PER - LAURA VICUÑA - 1040267)"/>
    <x v="1"/>
    <m/>
    <m/>
    <m/>
    <m/>
    <m/>
    <m/>
    <m/>
    <m/>
    <m/>
    <n v="20673900"/>
  </r>
  <r>
    <x v="3"/>
    <n v="5501"/>
    <s v="R - CENTROS RESIDENCIALES"/>
    <x v="7"/>
    <s v="ILLAPEL"/>
    <s v="REGIONAL"/>
    <x v="2"/>
    <s v="NO"/>
    <s v="12 a 17 años, 11 meses y 29 días"/>
    <s v="F"/>
    <n v="452400.00000000006"/>
    <n v="65145600.000000015"/>
    <n v="65145600.000000015"/>
    <n v="1"/>
    <n v="4"/>
    <x v="0"/>
    <n v="1040317"/>
    <s v="REM - CORPORACION PARA EL DESARROLLO INTEGRAL DE LA PROVIDENCIA DE CHOAPA ILLAPEL"/>
    <n v="35"/>
    <n v="0"/>
    <n v="17"/>
    <s v="A"/>
    <s v="ILLAPEL"/>
    <d v="2017-09-29T00:00:00"/>
    <s v="RU 30-06-2019"/>
    <n v="185708250"/>
  </r>
  <r>
    <x v="3"/>
    <n v="5501"/>
    <s v="P - PROGRAMAS"/>
    <x v="4"/>
    <s v="ILLAPEL"/>
    <s v="REGIONAL"/>
    <x v="2"/>
    <s v="N/A"/>
    <s v="12 a 17 años, 11 meses y 29 días"/>
    <s v="F"/>
    <n v="193440.00000000003"/>
    <n v="27855360.000000007"/>
    <n v="27855360.000000007"/>
    <n v="1"/>
    <n v="4"/>
    <x v="2"/>
    <n v="1040318"/>
    <s v="PER - CORPORACION PARA EL DESARROLLO INTEGRAL DE LA PROVIDENCIA DE CHOAPA ILLAPEL"/>
    <n v="33"/>
    <n v="0"/>
    <n v="17"/>
    <s v="A"/>
    <s v="ILLAPEL"/>
    <d v="2017-09-29T00:00:00"/>
    <s v="RU 30-06-2019"/>
    <n v="76602240.000000015"/>
  </r>
  <r>
    <x v="3"/>
    <n v="5502"/>
    <s v="R - CENTROS RESIDENCIALES"/>
    <x v="7"/>
    <s v="ILLAPEL"/>
    <s v="REGIONAL"/>
    <x v="2"/>
    <s v="NO"/>
    <s v="12 a 17 años, 11 meses y 29 días"/>
    <s v="M"/>
    <n v="452400.00000000006"/>
    <n v="65145600.000000015"/>
    <n v="65145600.000000015"/>
    <n v="1"/>
    <s v="RECURSOS REGIONALES "/>
    <x v="1"/>
    <m/>
    <m/>
    <m/>
    <m/>
    <m/>
    <m/>
    <m/>
    <m/>
    <m/>
    <m/>
  </r>
  <r>
    <x v="3"/>
    <n v="5502"/>
    <s v="P - PROGRAMAS"/>
    <x v="4"/>
    <s v="ILLAPEL"/>
    <s v="REGIONAL"/>
    <x v="2"/>
    <s v="N/A"/>
    <s v="12 a 17 años, 11 meses y 29 días"/>
    <s v="M"/>
    <n v="193440.00000000003"/>
    <n v="27855360.000000007"/>
    <n v="27855360.000000007"/>
    <n v="1"/>
    <m/>
    <x v="1"/>
    <m/>
    <m/>
    <m/>
    <m/>
    <m/>
    <m/>
    <m/>
    <m/>
    <m/>
    <m/>
  </r>
  <r>
    <x v="4"/>
    <n v="5503"/>
    <s v="R - CENTROS RESIDENCIALES"/>
    <x v="8"/>
    <s v="SAN ANTONIO"/>
    <s v="REGIONAL"/>
    <x v="6"/>
    <s v="NO"/>
    <s v="0 a 5 años, 11 meses y 29 días"/>
    <s v="A"/>
    <n v="527475"/>
    <n v="132923700"/>
    <n v="132923700"/>
    <n v="1"/>
    <n v="5"/>
    <x v="5"/>
    <n v="1050878"/>
    <s v="RLP - RESIDENCIA ALEAH"/>
    <n v="21"/>
    <m/>
    <m/>
    <m/>
    <s v="LIMACHE"/>
    <d v="2016-10-31T00:00:00"/>
    <s v="RU 30-08-2019"/>
    <n v="132923700"/>
  </r>
  <r>
    <x v="4"/>
    <n v="5503"/>
    <s v="P - PROGRAMAS"/>
    <x v="4"/>
    <s v="SAN ANTONIO"/>
    <s v="REGIONAL"/>
    <x v="6"/>
    <s v="N/A"/>
    <s v="0 a 5 años, 11 meses y 29 días"/>
    <s v="A"/>
    <n v="151125"/>
    <n v="38083500"/>
    <n v="38083500"/>
    <n v="1"/>
    <n v="5"/>
    <x v="2"/>
    <n v="1050879"/>
    <s v="PER - RESIDENCIA ALEAH"/>
    <n v="21"/>
    <m/>
    <m/>
    <m/>
    <s v="LIMACHE"/>
    <d v="2016-10-31T00:00:00"/>
    <s v="RU 30-08-2019"/>
    <n v="38083500"/>
  </r>
  <r>
    <x v="4"/>
    <n v="5504"/>
    <s v="R - CENTROS RESIDENCIALES"/>
    <x v="7"/>
    <s v="LIMACHE"/>
    <s v="REGIONAL"/>
    <x v="7"/>
    <s v="NO"/>
    <s v="6 a 11 años, 11 meses y 29 días"/>
    <s v="F"/>
    <n v="373912.49999999994"/>
    <n v="179477999.99999997"/>
    <n v="179477999.99999997"/>
    <n v="1"/>
    <n v="5"/>
    <x v="3"/>
    <n v="1050622"/>
    <s v="RPM - REFUGIO SAN PATRICIO"/>
    <n v="40"/>
    <n v="6"/>
    <n v="17"/>
    <s v="F"/>
    <s v="LIMACHE"/>
    <d v="2012-11-15T00:00:00"/>
    <s v="RU 30-06-2019"/>
    <n v="179478000"/>
  </r>
  <r>
    <x v="4"/>
    <n v="5504"/>
    <s v="P - PROGRAMAS"/>
    <x v="4"/>
    <s v="LIMACHE"/>
    <s v="REGIONAL"/>
    <x v="8"/>
    <s v="N/A"/>
    <s v="6 a 11 años, 11 meses y 29 días"/>
    <s v="F"/>
    <n v="151125"/>
    <n v="39897000"/>
    <n v="39897000"/>
    <n v="1"/>
    <n v="5"/>
    <x v="2"/>
    <n v="1050889"/>
    <s v="PER - SAN PATRICIO"/>
    <n v="22"/>
    <n v="6"/>
    <n v="17"/>
    <s v="F"/>
    <s v="LIMACHE"/>
    <d v="2017-01-01T00:00:00"/>
    <s v="RU 30-06-2019"/>
    <n v="39897000"/>
  </r>
  <r>
    <x v="4"/>
    <n v="5505"/>
    <s v="R - CENTROS RESIDENCIALES"/>
    <x v="0"/>
    <s v="SAN FELIPE"/>
    <s v="REGIONAL"/>
    <x v="9"/>
    <s v="NO"/>
    <s v="14 a 17 años, 11 meses y 29 días"/>
    <s v="M"/>
    <n v="450693.75"/>
    <n v="124391475"/>
    <n v="124391475"/>
    <n v="1"/>
    <n v="5"/>
    <x v="3"/>
    <n v="1050630"/>
    <s v="RPM - CASA DE JOVENES WALTER ZIELKE"/>
    <n v="23"/>
    <n v="6"/>
    <n v="17"/>
    <s v="M"/>
    <s v="SAN FELIPE"/>
    <d v="2012-11-15T00:00:00"/>
    <s v="RU 30-06-2019"/>
    <n v="103199850"/>
  </r>
  <r>
    <x v="4"/>
    <n v="5505"/>
    <s v="P - PROGRAMAS"/>
    <x v="1"/>
    <s v="SAN FELIPE"/>
    <s v="REGIONAL"/>
    <x v="9"/>
    <s v="N/A"/>
    <s v="14 a 17 años, 11 meses y 29 días"/>
    <s v="M"/>
    <n v="151125"/>
    <n v="41710500"/>
    <n v="41710500"/>
    <n v="1"/>
    <n v="5"/>
    <x v="2"/>
    <n v="1050794"/>
    <s v="PER - CASA DE JOVENES WALTER ZIELKE"/>
    <n v="15"/>
    <n v="0"/>
    <n v="17"/>
    <s v="M"/>
    <s v="SAN FELIPE"/>
    <d v="2015-09-24T00:00:00"/>
    <s v="RU 30-06-2019"/>
    <n v="27202500"/>
  </r>
  <r>
    <x v="4"/>
    <n v="5505"/>
    <s v="P - PROGRAMAS"/>
    <x v="2"/>
    <s v="SAN FELIPE"/>
    <s v="REGIONAL"/>
    <x v="9"/>
    <s v="N/A"/>
    <s v="14 a 17 años, 11 meses y 29 días"/>
    <s v="M"/>
    <n v="151125"/>
    <n v="41710500"/>
    <n v="41710500"/>
    <n v="1"/>
    <n v="5"/>
    <x v="3"/>
    <n v="1050605"/>
    <s v="RPM- HOGAR TERESA CORTES BROWN"/>
    <m/>
    <n v="6"/>
    <n v="18"/>
    <s v="F"/>
    <s v="VIÑA DEL MAR"/>
    <m/>
    <m/>
    <n v="41710500"/>
  </r>
  <r>
    <x v="4"/>
    <n v="5506"/>
    <s v="R - CENTROS RESIDENCIALES"/>
    <x v="0"/>
    <s v="SAN FELIPE"/>
    <s v="REGIONAL"/>
    <x v="0"/>
    <s v="NO"/>
    <s v="6 a 11 años, 11 meses y 29 días"/>
    <s v="M"/>
    <n v="460931.25000000006"/>
    <n v="110623500.00000003"/>
    <n v="110623500.00000003"/>
    <n v="1"/>
    <n v="5"/>
    <x v="0"/>
    <n v="1050657"/>
    <s v="REM - RESIDENCIA DE NIÑOS Y JOVENES PABLO VI"/>
    <n v="20"/>
    <n v="6"/>
    <n v="17"/>
    <s v="M"/>
    <s v="SAN FELIPE"/>
    <d v="2013-11-25T00:00:00"/>
    <s v="RU 30-06-2019"/>
    <n v="92196000"/>
  </r>
  <r>
    <x v="4"/>
    <n v="5506"/>
    <s v="P - PROGRAMAS"/>
    <x v="1"/>
    <s v="SAN FELIPE"/>
    <s v="REGIONAL"/>
    <x v="0"/>
    <s v="N/A"/>
    <s v="6 a 11 años, 11 meses y 29 días"/>
    <s v="M"/>
    <n v="151125"/>
    <n v="36270000"/>
    <n v="36270000"/>
    <n v="1"/>
    <n v="5"/>
    <x v="2"/>
    <n v="1050658"/>
    <s v="PER - RESIDENCIA DE NIÑOS Y JOVENES PABLO VI"/>
    <n v="20"/>
    <n v="6"/>
    <n v="17"/>
    <s v="M"/>
    <s v="SAN FELIPE"/>
    <d v="2013-11-25T00:00:00"/>
    <s v="RU 30-06-2019"/>
    <n v="36270000"/>
  </r>
  <r>
    <x v="4"/>
    <n v="5506"/>
    <s v="P - PROGRAMAS"/>
    <x v="2"/>
    <s v="SAN FELIPE"/>
    <s v="REGIONAL"/>
    <x v="0"/>
    <s v="N/A"/>
    <s v="6 a 11 años, 11 meses y 29 días"/>
    <s v="M"/>
    <n v="151125"/>
    <n v="36270000"/>
    <n v="36270000"/>
    <n v="1"/>
    <n v="5"/>
    <x v="2"/>
    <n v="1050801"/>
    <s v="PER - HOGAR TERESA CORTES BROWN"/>
    <n v="15"/>
    <n v="0"/>
    <n v="17"/>
    <s v="F"/>
    <s v="VIÑA DEL MAR"/>
    <d v="2015-09-24T00:00:00"/>
    <m/>
    <n v="27202500"/>
  </r>
  <r>
    <x v="4"/>
    <m/>
    <m/>
    <x v="9"/>
    <m/>
    <m/>
    <x v="10"/>
    <m/>
    <m/>
    <m/>
    <m/>
    <m/>
    <m/>
    <m/>
    <n v="5"/>
    <x v="3"/>
    <n v="1050605"/>
    <s v="RPM- HOGAR TERESA CORTES BROWN"/>
    <m/>
    <n v="6"/>
    <n v="18"/>
    <s v="F"/>
    <s v="VIÑA DEL MAR"/>
    <m/>
    <m/>
    <n v="9067500"/>
  </r>
  <r>
    <x v="4"/>
    <m/>
    <m/>
    <x v="9"/>
    <m/>
    <m/>
    <x v="10"/>
    <m/>
    <m/>
    <m/>
    <m/>
    <m/>
    <m/>
    <m/>
    <n v="5"/>
    <x v="5"/>
    <n v="1050726"/>
    <s v="RLP - HOGAR MI FAMILIA"/>
    <n v="20"/>
    <n v="0"/>
    <n v="17"/>
    <s v="A"/>
    <s v="VIÑA DEL MAR"/>
    <d v="2014-11-16T00:00:00"/>
    <s v="CERRADA"/>
    <n v="129051000"/>
  </r>
  <r>
    <x v="4"/>
    <m/>
    <m/>
    <x v="9"/>
    <m/>
    <m/>
    <x v="10"/>
    <m/>
    <m/>
    <m/>
    <m/>
    <m/>
    <m/>
    <m/>
    <n v="5"/>
    <x v="2"/>
    <n v="1050727"/>
    <s v="PER - HOGAR MI FAMILIA"/>
    <n v="14"/>
    <n v="0"/>
    <n v="5"/>
    <s v="A"/>
    <s v="VIÑA DEL MAR"/>
    <d v="2014-11-16T00:00:00"/>
    <s v="CERRADA"/>
    <n v="25389000"/>
  </r>
  <r>
    <x v="4"/>
    <n v="5507"/>
    <s v="R - CENTROS RESIDENCIALES"/>
    <x v="7"/>
    <s v="VALPARAÍSO"/>
    <s v="REGIONAL"/>
    <x v="3"/>
    <s v="NO"/>
    <s v="6 a 17 años, 11 meses y 29 días"/>
    <s v="M"/>
    <n v="373912.49999999994"/>
    <n v="134608499.99999997"/>
    <n v="134608499.99999997"/>
    <n v="1"/>
    <n v="5"/>
    <x v="0"/>
    <n v="1050946"/>
    <s v="REM - HOGAR DE NIÑOS ARTURO PRAT"/>
    <n v="50"/>
    <n v="6"/>
    <n v="17"/>
    <s v="A"/>
    <s v="LA CRUZ"/>
    <d v="2017-06-30T00:00:00"/>
    <s v="RU 30-06-2019"/>
    <n v="155025000"/>
  </r>
  <r>
    <x v="4"/>
    <n v="5507"/>
    <s v="P - PROGRAMAS"/>
    <x v="4"/>
    <s v="VALPARAÍSO"/>
    <s v="REGIONAL"/>
    <x v="3"/>
    <s v="N/A"/>
    <s v="6 a 17 años, 11 meses y 29 días"/>
    <s v="M"/>
    <n v="151125"/>
    <n v="54405000"/>
    <n v="54405000"/>
    <n v="1"/>
    <n v="5"/>
    <x v="2"/>
    <n v="1050947"/>
    <s v="PER - HOGAR DE NIÑOS ARTURO PRAT"/>
    <n v="50"/>
    <n v="6"/>
    <n v="17"/>
    <s v="A"/>
    <s v="LA CRUZ"/>
    <d v="2017-07-01T00:00:00"/>
    <s v="RU 30-06-2019"/>
    <n v="90675000"/>
  </r>
  <r>
    <x v="4"/>
    <n v="5508"/>
    <s v="R - CENTROS RESIDENCIALES"/>
    <x v="0"/>
    <s v="VALPARAISO"/>
    <s v="REGIONAL"/>
    <x v="2"/>
    <s v="NO"/>
    <s v="12 a 17 años, 11 meses y 29 días"/>
    <s v="M"/>
    <n v="460931.25000000006"/>
    <n v="66374100.000000015"/>
    <n v="66374100.000000015"/>
    <n v="1"/>
    <s v="META PRESUPUESTARIA 2019"/>
    <x v="1"/>
    <m/>
    <m/>
    <m/>
    <m/>
    <m/>
    <m/>
    <m/>
    <m/>
    <m/>
    <n v="66374100"/>
  </r>
  <r>
    <x v="4"/>
    <n v="5508"/>
    <s v="P - PROGRAMAS"/>
    <x v="1"/>
    <s v="VALPARAISO"/>
    <s v="REGIONAL"/>
    <x v="2"/>
    <s v="N/A"/>
    <s v="12 a 17 años, 11 meses y 29 días"/>
    <s v="M"/>
    <n v="151125"/>
    <n v="21762000"/>
    <n v="21762000"/>
    <n v="1"/>
    <m/>
    <x v="1"/>
    <m/>
    <m/>
    <m/>
    <m/>
    <m/>
    <m/>
    <m/>
    <m/>
    <m/>
    <n v="21762000"/>
  </r>
  <r>
    <x v="4"/>
    <n v="5508"/>
    <s v="P - PROGRAMAS"/>
    <x v="2"/>
    <s v="VALPARAISO"/>
    <s v="REGIONAL"/>
    <x v="2"/>
    <s v="N/A"/>
    <s v="12 a 17 años, 11 meses y 29 días"/>
    <s v="M"/>
    <n v="151125"/>
    <n v="21762000"/>
    <n v="21762000"/>
    <n v="1"/>
    <m/>
    <x v="1"/>
    <m/>
    <m/>
    <m/>
    <m/>
    <m/>
    <m/>
    <m/>
    <m/>
    <m/>
    <n v="21762000"/>
  </r>
  <r>
    <x v="4"/>
    <n v="5509"/>
    <s v="R - CENTROS RESIDENCIALES"/>
    <x v="7"/>
    <s v="QUILPUÉ"/>
    <s v="REGIONAL"/>
    <x v="11"/>
    <s v="SI"/>
    <s v="12 a 17 años, 11 meses y 29 días"/>
    <s v="F"/>
    <n v="379031.25000000006"/>
    <n v="172838250.00000003"/>
    <n v="172838250.00000003"/>
    <n v="1"/>
    <n v="5"/>
    <x v="0"/>
    <n v="1050552"/>
    <s v="REM - MONSEÑOR FELIX RUIZ ESCUDERO"/>
    <n v="38"/>
    <n v="12"/>
    <n v="17"/>
    <s v="F"/>
    <s v="QUILPUÉ"/>
    <d v="2011-10-14T00:00:00"/>
    <d v="2019-04-14T00:00:00"/>
    <n v="172838250.00000003"/>
  </r>
  <r>
    <x v="4"/>
    <n v="5509"/>
    <s v="P - PROGRAMAS"/>
    <x v="4"/>
    <s v="QUILPUÉ"/>
    <s v="REGIONAL"/>
    <x v="11"/>
    <s v="N/A"/>
    <s v="12 a 17 años, 11 meses y 29 días"/>
    <s v="F"/>
    <n v="151125"/>
    <n v="68913000"/>
    <n v="68913000"/>
    <n v="1"/>
    <n v="5"/>
    <x v="2"/>
    <n v="1050893"/>
    <s v="PER - MONSEÑOR FELIX RUIZ ESCUDERO"/>
    <n v="38"/>
    <n v="12"/>
    <n v="17"/>
    <s v="F"/>
    <s v="QUILPUÉ"/>
    <d v="2017-01-01T00:00:00"/>
    <d v="2019-04-14T00:00:00"/>
    <n v="68913000"/>
  </r>
  <r>
    <x v="4"/>
    <n v="5510"/>
    <s v="R - CENTROS RESIDENCIALES"/>
    <x v="7"/>
    <s v="LA CRUZ"/>
    <s v="PROVINCIA QUILLOTA, LA CRUZ"/>
    <x v="12"/>
    <s v="SI"/>
    <s v="6 a 17 años, 11 meses y 29 días"/>
    <s v="F"/>
    <n v="379031.25000000006"/>
    <n v="122806125.00000003"/>
    <n v="122806125.00000003"/>
    <n v="1"/>
    <n v="5"/>
    <x v="0"/>
    <n v="1050625"/>
    <s v="REM - SANTA TERESA DE LOS ANDES"/>
    <n v="27"/>
    <n v="6"/>
    <n v="17"/>
    <s v="F"/>
    <s v="LA CRUZ"/>
    <d v="2012-11-15T00:00:00"/>
    <s v="RU 30-06-2019"/>
    <n v="122806125.00000003"/>
  </r>
  <r>
    <x v="4"/>
    <n v="5510"/>
    <s v="P - PROGRAMAS"/>
    <x v="4"/>
    <s v="LA CRUZ"/>
    <s v="PROVINCIA QUILLOTA, LA CRUZ"/>
    <x v="12"/>
    <s v="N/A"/>
    <s v="6 a 17 años, 11 meses y 29 días"/>
    <s v="F"/>
    <n v="151125"/>
    <n v="48964500"/>
    <n v="48964500"/>
    <n v="1"/>
    <n v="5"/>
    <x v="2"/>
    <m/>
    <s v="PER - SANTA TERESA DE LOS ANDES"/>
    <n v="27"/>
    <n v="6"/>
    <n v="17"/>
    <s v="F"/>
    <s v="LA CRUZ"/>
    <m/>
    <s v="RU 30-06-2019"/>
    <n v="48964500"/>
  </r>
  <r>
    <x v="4"/>
    <n v="5511"/>
    <s v="R - CENTROS RESIDENCIALES"/>
    <x v="5"/>
    <s v="VIÑA DEL MAR"/>
    <s v="REGIONAL"/>
    <x v="13"/>
    <s v="NO"/>
    <s v="12 a 17 años, 11 meses y 29 días"/>
    <s v="F"/>
    <n v="460931.25000000006"/>
    <n v="55311750.000000015"/>
    <n v="55311750.000000015"/>
    <n v="1"/>
    <n v="5"/>
    <x v="4"/>
    <n v="1050595"/>
    <s v="RSP - HOGAR DE NIÑAS Y ADOLESCENTES ANITA CRUCHAGA"/>
    <n v="20"/>
    <n v="12"/>
    <n v="17"/>
    <s v="F"/>
    <s v="QUILPUÉ"/>
    <d v="2017-11-02T00:00:00"/>
    <s v="TERMINO ANTICIPADO _x000a_06-05-2019"/>
    <n v="110623500.00000003"/>
  </r>
  <r>
    <x v="4"/>
    <n v="5511"/>
    <s v="P - PROGRAMAS"/>
    <x v="4"/>
    <s v="VIÑA DEL MAR"/>
    <s v="REGIONAL"/>
    <x v="13"/>
    <s v="N/A"/>
    <s v="12 a 17 años, 11 meses y 29 días"/>
    <s v="F"/>
    <n v="151125"/>
    <n v="18135000"/>
    <n v="18135000"/>
    <n v="1"/>
    <n v="5"/>
    <x v="2"/>
    <n v="1050596"/>
    <s v="PER HOGAR DE NIÑAS Y ADOLESCENTES ANITA CRUCHAGA"/>
    <n v="20"/>
    <n v="12"/>
    <n v="17"/>
    <s v="F"/>
    <s v="QUILPUÉ"/>
    <d v="2017-11-02T00:00:00"/>
    <s v="TERMINO ANTICIPADO _x000a_06-05-2019"/>
    <n v="36270000"/>
  </r>
  <r>
    <x v="5"/>
    <n v="5512"/>
    <s v="R - CENTROS RESIDENCIALES"/>
    <x v="0"/>
    <s v="RANCAGUA"/>
    <s v="REGIONAL"/>
    <x v="0"/>
    <s v="NO"/>
    <s v="12 a 17 años, 11 meses y 29 días"/>
    <s v="M"/>
    <n v="460931.25000000006"/>
    <n v="110623500.00000003"/>
    <n v="110623500.00000003"/>
    <n v="1"/>
    <n v="6"/>
    <x v="0"/>
    <n v="1060182"/>
    <s v="REM - VILLA PADRE ALCESTE PIERGIOVANNI"/>
    <n v="66"/>
    <m/>
    <m/>
    <m/>
    <s v="QUINTA DE TILCOCO"/>
    <d v="2012-10-22T00:00:00"/>
    <s v="CERRADA"/>
    <n v="193050000"/>
  </r>
  <r>
    <x v="5"/>
    <n v="5512"/>
    <s v="P - PROGRAMAS"/>
    <x v="1"/>
    <s v="RANCAGUA"/>
    <s v="REGIONAL"/>
    <x v="0"/>
    <s v="N/A"/>
    <s v="12 a 17 años, 11 meses y 29 días"/>
    <s v="M"/>
    <n v="151125"/>
    <n v="36270000"/>
    <n v="36270000"/>
    <n v="1"/>
    <m/>
    <x v="1"/>
    <m/>
    <m/>
    <m/>
    <m/>
    <m/>
    <m/>
    <m/>
    <m/>
    <m/>
    <m/>
  </r>
  <r>
    <x v="5"/>
    <n v="5512"/>
    <s v="P - PROGRAMAS"/>
    <x v="2"/>
    <s v="RANCAGUA"/>
    <s v="REGIONAL"/>
    <x v="0"/>
    <s v="N/A"/>
    <s v="12 a 17 años, 11 meses y 29 días"/>
    <s v="M"/>
    <n v="151125"/>
    <n v="36270000"/>
    <n v="36270000"/>
    <n v="1"/>
    <n v="6"/>
    <x v="2"/>
    <n v="1060183"/>
    <s v="PER - VILLA PADRE ALCESTE PIERGIOVANNI"/>
    <n v="40"/>
    <m/>
    <m/>
    <m/>
    <s v="QUINTA DE TILCOCO"/>
    <d v="2012-10-22T00:00:00"/>
    <s v="CERRADA"/>
    <n v="72540000"/>
  </r>
  <r>
    <x v="5"/>
    <n v="5513"/>
    <s v="R - CENTROS RESIDENCIALES"/>
    <x v="7"/>
    <s v="RANCAGUA"/>
    <s v="REGIONAL"/>
    <x v="0"/>
    <s v="NO"/>
    <s v="6 a 11 años, 11 meses y 29 días"/>
    <s v="M"/>
    <n v="384150"/>
    <n v="92196000"/>
    <n v="92196000"/>
    <n v="1"/>
    <n v="6"/>
    <x v="5"/>
    <n v="1060184"/>
    <s v="RLP - OLVIDO RIESTRA DE MATETIC"/>
    <n v="41"/>
    <m/>
    <m/>
    <m/>
    <s v="QUINTA DE TILCOCO"/>
    <m/>
    <s v="CERRADA"/>
    <n v="202673250"/>
  </r>
  <r>
    <x v="5"/>
    <n v="5513"/>
    <s v="P - PROGRAMAS"/>
    <x v="4"/>
    <s v="RANCAGUA"/>
    <s v="REGIONAL"/>
    <x v="0"/>
    <s v="N/A"/>
    <s v="6 a 11 años, 11 meses y 29 días"/>
    <s v="M"/>
    <n v="151125"/>
    <n v="36270000"/>
    <n v="36270000"/>
    <n v="1"/>
    <n v="6"/>
    <x v="2"/>
    <n v="1060185"/>
    <s v="PER - OLVIDO RIESTRA DE MATETIC"/>
    <n v="40"/>
    <m/>
    <m/>
    <m/>
    <s v="QUINTA DE TILCOCO"/>
    <m/>
    <s v="CERRADA"/>
    <n v="72540000"/>
  </r>
  <r>
    <x v="5"/>
    <n v="5514"/>
    <s v="R - CENTROS RESIDENCIALES"/>
    <x v="0"/>
    <s v="RANCAGUA"/>
    <s v="REGIONAL"/>
    <x v="0"/>
    <s v="NO"/>
    <s v="12 a 17 años, 11 meses y 29 días"/>
    <s v="F"/>
    <n v="460931.25000000006"/>
    <n v="110623500.00000003"/>
    <n v="110623500.00000003"/>
    <n v="1"/>
    <n v="6"/>
    <x v="0"/>
    <n v="1060169"/>
    <s v="REM - CATALINA KENTENICH"/>
    <n v="32"/>
    <n v="0"/>
    <n v="17"/>
    <s v="F"/>
    <s v="RANCAGUA"/>
    <d v="2011-07-01T00:00:00"/>
    <s v="RU 30-06-2019"/>
    <n v="143582399.99999997"/>
  </r>
  <r>
    <x v="5"/>
    <n v="5514"/>
    <s v="P - PROGRAMAS"/>
    <x v="1"/>
    <s v="RANCAGUA"/>
    <s v="REGIONAL"/>
    <x v="0"/>
    <s v="N/A"/>
    <s v="12 a 17 años, 11 meses y 29 días"/>
    <s v="F"/>
    <n v="151125"/>
    <n v="36270000"/>
    <n v="36270000"/>
    <n v="1"/>
    <n v="6"/>
    <x v="1"/>
    <m/>
    <m/>
    <m/>
    <m/>
    <m/>
    <m/>
    <m/>
    <m/>
    <m/>
    <m/>
  </r>
  <r>
    <x v="5"/>
    <n v="5514"/>
    <s v="P - PROGRAMAS"/>
    <x v="2"/>
    <s v="RANCAGUA"/>
    <s v="REGIONAL"/>
    <x v="0"/>
    <s v="N/A"/>
    <s v="12 a 17 años, 11 meses y 29 días"/>
    <s v="F"/>
    <n v="151125"/>
    <n v="36270000"/>
    <n v="36270000"/>
    <n v="1"/>
    <n v="6"/>
    <x v="2"/>
    <n v="1060168"/>
    <s v="PER - CATALINA KENTENICH"/>
    <n v="10"/>
    <n v="0"/>
    <n v="17"/>
    <s v="F"/>
    <s v="RANCAGUA"/>
    <d v="2011-07-01T00:00:00"/>
    <s v="RU 30-06-2019"/>
    <n v="18135000"/>
  </r>
  <r>
    <x v="5"/>
    <n v="5515"/>
    <s v="R - CENTROS RESIDENCIALES"/>
    <x v="7"/>
    <s v="RANCAGUA"/>
    <s v="REGIONAL"/>
    <x v="0"/>
    <s v="NO"/>
    <s v="6 a 11 años, 11 meses y 29 días"/>
    <s v="A"/>
    <n v="384150"/>
    <n v="92196000"/>
    <n v="92196000"/>
    <n v="1"/>
    <n v="6"/>
    <x v="1"/>
    <m/>
    <s v="Saldos de REM - VILLA PADRE ALCESTE PIERGIOVANNI/RLP - OLVIDO RIESTRA DE MATETIC"/>
    <m/>
    <m/>
    <m/>
    <m/>
    <m/>
    <m/>
    <m/>
    <m/>
  </r>
  <r>
    <x v="5"/>
    <n v="5515"/>
    <s v="P - PROGRAMAS"/>
    <x v="4"/>
    <s v="RANCAGUA"/>
    <s v="REGIONAL"/>
    <x v="0"/>
    <s v="N/A"/>
    <s v="6 a 11 años, 11 meses y 29 días"/>
    <s v="A"/>
    <n v="151125"/>
    <n v="36270000"/>
    <n v="36270000"/>
    <n v="1"/>
    <n v="6"/>
    <x v="1"/>
    <m/>
    <s v="PER - VILLA PADRE ALCESTE PIERGIOVANNI/PER OLVIDO RIESTRA"/>
    <m/>
    <m/>
    <m/>
    <m/>
    <m/>
    <m/>
    <m/>
    <m/>
  </r>
  <r>
    <x v="6"/>
    <n v="5516"/>
    <s v="R - CENTROS RESIDENCIALES"/>
    <x v="8"/>
    <s v="MAULE"/>
    <s v="PROVINCIAL "/>
    <x v="0"/>
    <s v="NO"/>
    <s v="0 a 5 años, 11 meses y 29 días"/>
    <s v="A"/>
    <n v="537712.5"/>
    <n v="129051000"/>
    <n v="129051000"/>
    <n v="1"/>
    <n v="7"/>
    <x v="7"/>
    <n v="1070316"/>
    <s v="RPP - HOGAR DE VIDA FAMILIAR INFANTIL SAN JOSE I"/>
    <n v="26"/>
    <n v="0"/>
    <n v="6"/>
    <s v="A"/>
    <s v="MAULE"/>
    <d v="2012-11-16T00:00:00"/>
    <s v="RU 30-06-2019"/>
    <n v="164572200"/>
  </r>
  <r>
    <x v="6"/>
    <n v="5516"/>
    <s v="P - PROGRAMAS"/>
    <x v="4"/>
    <s v="MAULE"/>
    <s v="PROVINCIAL "/>
    <x v="0"/>
    <s v="N/A"/>
    <s v="0 a 5 años, 11 meses y 29 días"/>
    <s v="A"/>
    <n v="151125"/>
    <n v="36270000"/>
    <n v="36270000"/>
    <n v="1"/>
    <n v="7"/>
    <x v="1"/>
    <m/>
    <m/>
    <m/>
    <m/>
    <m/>
    <m/>
    <m/>
    <m/>
    <m/>
    <m/>
  </r>
  <r>
    <x v="6"/>
    <n v="5517"/>
    <s v="R - CENTROS RESIDENCIALES"/>
    <x v="7"/>
    <s v="LINARES "/>
    <s v="PROVINCIAL "/>
    <x v="0"/>
    <s v="NO"/>
    <s v="6 a 12 años, 11 meses y 29 días"/>
    <s v="M"/>
    <n v="384150"/>
    <n v="92196000"/>
    <n v="92196000"/>
    <n v="1"/>
    <n v="7"/>
    <x v="0"/>
    <n v="1070372"/>
    <s v="REM - RENUEVO PARRAL"/>
    <n v="20"/>
    <m/>
    <m/>
    <m/>
    <s v="PARRAL"/>
    <d v="2015-08-24T00:00:00"/>
    <s v="CERRADA"/>
    <n v="92196000"/>
  </r>
  <r>
    <x v="6"/>
    <n v="5517"/>
    <s v="P - PROGRAMAS"/>
    <x v="4"/>
    <s v="LINARES "/>
    <s v="PROVINCIAL "/>
    <x v="0"/>
    <s v="N/A"/>
    <s v="6 a 12 años, 11 meses y 29 días"/>
    <s v="M"/>
    <n v="151125"/>
    <n v="36270000"/>
    <n v="36270000"/>
    <n v="1"/>
    <n v="7"/>
    <x v="2"/>
    <n v="1070373"/>
    <s v="PER - RENUEVO PARRAL"/>
    <n v="20"/>
    <m/>
    <m/>
    <m/>
    <s v="PARRAL"/>
    <d v="2015-08-24T00:00:00"/>
    <s v="CERRADA"/>
    <n v="36270000"/>
  </r>
  <r>
    <x v="6"/>
    <n v="5518"/>
    <s v="R - CENTROS RESIDENCIALES"/>
    <x v="7"/>
    <s v="CURICO"/>
    <s v="PROVINCIAL "/>
    <x v="0"/>
    <s v="NO"/>
    <s v="6 a 17 años, 11 meses y 29 días"/>
    <s v="M"/>
    <n v="384150"/>
    <n v="92196000"/>
    <n v="92196000"/>
    <n v="1"/>
    <n v="7"/>
    <x v="0"/>
    <n v="1070333"/>
    <s v="REM - RENUEVO TALCA"/>
    <n v="20"/>
    <m/>
    <m/>
    <m/>
    <s v="CURICO "/>
    <d v="2013-12-23T00:00:00"/>
    <s v="CERRADA"/>
    <n v="92196000"/>
  </r>
  <r>
    <x v="6"/>
    <n v="5518"/>
    <s v="P - PROGRAMAS"/>
    <x v="4"/>
    <s v="CURICO"/>
    <s v="PROVINCIAL "/>
    <x v="0"/>
    <s v="N/A"/>
    <s v="6 a 17 años, 11 meses y 29 días"/>
    <s v="M"/>
    <n v="151125"/>
    <n v="36270000"/>
    <n v="36270000"/>
    <n v="1"/>
    <n v="7"/>
    <x v="2"/>
    <n v="1070334"/>
    <s v="PER - RENUEVO TALCA"/>
    <n v="20"/>
    <m/>
    <m/>
    <m/>
    <s v="CURICO "/>
    <d v="2013-12-23T00:00:00"/>
    <s v="CERRADA"/>
    <n v="36270000"/>
  </r>
  <r>
    <x v="6"/>
    <n v="5519"/>
    <s v="R - CENTROS RESIDENCIALES"/>
    <x v="7"/>
    <s v="CAUQUENES"/>
    <s v="PROVINCIAL "/>
    <x v="7"/>
    <s v="SI"/>
    <s v="6 a 17 años, 11 meses y 29 días"/>
    <s v="M"/>
    <n v="423393.75"/>
    <n v="203229000"/>
    <n v="203229000"/>
    <n v="1"/>
    <n v="7"/>
    <x v="0"/>
    <n v="1070500"/>
    <s v="REM - RESIDENCIA CIUDAD DEL NIÑO CAUQUENES"/>
    <n v="40"/>
    <n v="2"/>
    <n v="18"/>
    <s v="M"/>
    <s v="CAUQUENES"/>
    <d v="2018-02-03T00:00:00"/>
    <d v="2019-08-03T00:00:00"/>
    <n v="195858000.00000003"/>
  </r>
  <r>
    <x v="6"/>
    <n v="5519"/>
    <s v="P - PROGRAMAS"/>
    <x v="4"/>
    <s v="CAUQUENES"/>
    <s v="PROVINCIAL "/>
    <x v="7"/>
    <s v="N/A"/>
    <s v="6 a 17 años, 11 meses y 29 días"/>
    <s v="M"/>
    <n v="172282.5"/>
    <n v="82695600"/>
    <n v="82695600"/>
    <n v="1"/>
    <n v="7"/>
    <x v="2"/>
    <n v="1070501"/>
    <s v="PER - RESIDENCIA CUIDAD DEL NIÑO CAUQUENES"/>
    <n v="40"/>
    <n v="2"/>
    <n v="18"/>
    <s v="M"/>
    <s v="CAUQUENES"/>
    <d v="2017-12-12T00:00:00"/>
    <d v="2019-08-03T00:00:00"/>
    <n v="82695600"/>
  </r>
  <r>
    <x v="6"/>
    <n v="5520"/>
    <s v="R - CENTROS RESIDENCIALES"/>
    <x v="7"/>
    <s v="PARRAL"/>
    <s v="PROVINCIAL "/>
    <x v="0"/>
    <s v="NO"/>
    <s v="6 a 17 años, 11 meses y 29 días"/>
    <s v="F"/>
    <n v="384150"/>
    <n v="92196000"/>
    <n v="92196000"/>
    <n v="1"/>
    <n v="7"/>
    <x v="3"/>
    <n v="1070234"/>
    <s v="RPM - RESIDENCIA DE VIDA FAMILIAR TERESA DE JESUS"/>
    <n v="18"/>
    <n v="6"/>
    <n v="18"/>
    <s v="F"/>
    <s v="PARRAL"/>
    <d v="2010-04-01T00:00:00"/>
    <s v="RU 30-06-2019"/>
    <n v="82976400"/>
  </r>
  <r>
    <x v="6"/>
    <n v="5520"/>
    <s v="P - PROGRAMAS"/>
    <x v="4"/>
    <s v="PARRAL"/>
    <s v="PROVINCIAL "/>
    <x v="0"/>
    <s v="N/A"/>
    <s v="6 a 17 años, 11 meses y 29 días"/>
    <s v="F"/>
    <n v="151125"/>
    <n v="36270000"/>
    <n v="36270000"/>
    <n v="1"/>
    <n v="7"/>
    <x v="1"/>
    <s v="11º CONCURSO PÚBLICO-4947 - DESIERTO"/>
    <m/>
    <m/>
    <m/>
    <m/>
    <m/>
    <m/>
    <m/>
    <m/>
    <n v="36270000"/>
  </r>
  <r>
    <x v="6"/>
    <n v="5521"/>
    <s v="R - CENTROS RESIDENCIALES"/>
    <x v="7"/>
    <s v="CURICÓ"/>
    <s v="PROVINCIAL "/>
    <x v="0"/>
    <s v="NO"/>
    <s v="6 a 17 años, 11 meses y 29 días"/>
    <s v="A"/>
    <n v="384150"/>
    <n v="92196000"/>
    <n v="92196000"/>
    <n v="1"/>
    <n v="7"/>
    <x v="3"/>
    <n v="1070293"/>
    <s v="RPM - ALDEA INFANTIL SOS CURICO"/>
    <n v="30"/>
    <n v="0"/>
    <n v="18"/>
    <s v="A"/>
    <s v="CURICÓ"/>
    <d v="2012-04-11T00:00:00"/>
    <s v="RU 30-06-2019"/>
    <n v="136451250"/>
  </r>
  <r>
    <x v="6"/>
    <n v="5521"/>
    <s v="P - PROGRAMAS"/>
    <x v="4"/>
    <s v="CURICÓ"/>
    <s v="PROVINCIAL "/>
    <x v="0"/>
    <s v="N/A"/>
    <s v="6 a 17 años, 11 meses y 29 días"/>
    <s v="A"/>
    <n v="151125"/>
    <n v="36270000"/>
    <n v="36270000"/>
    <n v="1"/>
    <m/>
    <x v="1"/>
    <m/>
    <m/>
    <m/>
    <m/>
    <m/>
    <m/>
    <m/>
    <m/>
    <m/>
    <m/>
  </r>
  <r>
    <x v="6"/>
    <n v="5522"/>
    <s v="R - CENTROS RESIDENCIALES"/>
    <x v="7"/>
    <s v="SAN JAVIER"/>
    <s v="SAN Javier, Villa Alegre, Colbun, Yerbas Buenas"/>
    <x v="0"/>
    <s v="NO"/>
    <s v="6 a 17 años, 11 meses y 29 días"/>
    <s v="F"/>
    <n v="384150"/>
    <n v="92196000"/>
    <n v="92196000"/>
    <n v="1"/>
    <n v="7"/>
    <x v="3"/>
    <n v="1070308"/>
    <s v="RPM - VIDA FAMILIAR SAN JOSE DE SAN JAVIER"/>
    <n v="25"/>
    <n v="6"/>
    <n v="18"/>
    <s v="F"/>
    <s v="SAN JAVIER"/>
    <d v="2012-11-16T00:00:00"/>
    <s v="RU 30-06-2019"/>
    <n v="113709375"/>
  </r>
  <r>
    <x v="6"/>
    <n v="5522"/>
    <s v="P - PROGRAMAS"/>
    <x v="4"/>
    <s v="SAN JAVIER"/>
    <s v="SAN Javier, Villa Alegre, Colbun, Yerbas Buenas"/>
    <x v="0"/>
    <s v="N/A"/>
    <s v="6 a 17 años, 11 meses y 29 días"/>
    <s v="F"/>
    <n v="151125"/>
    <n v="36270000"/>
    <n v="36270000"/>
    <n v="1"/>
    <n v="7"/>
    <x v="1"/>
    <s v="11º CONCURSO PÚBLICO-4952 - DESIERTO"/>
    <m/>
    <m/>
    <m/>
    <m/>
    <m/>
    <m/>
    <m/>
    <m/>
    <n v="36270000"/>
  </r>
  <r>
    <x v="6"/>
    <n v="5523"/>
    <s v="R - CENTROS RESIDENCIALES"/>
    <x v="7"/>
    <s v="LINARES"/>
    <s v="PROVINCIAL "/>
    <x v="0"/>
    <s v="NO"/>
    <s v="6 a 11 años, 11 meses y 29 días"/>
    <s v="F"/>
    <n v="384150"/>
    <n v="92196000"/>
    <n v="92196000"/>
    <n v="1"/>
    <n v="7"/>
    <x v="3"/>
    <n v="1070309"/>
    <s v="RPM - VIDA FAMILIAR MADRE DE LA ESPERANZA"/>
    <n v="25"/>
    <n v="6"/>
    <n v="18"/>
    <s v="F"/>
    <s v="LINARES"/>
    <d v="2012-11-16T00:00:00"/>
    <s v="RU 30-06-2019"/>
    <n v="113709375"/>
  </r>
  <r>
    <x v="6"/>
    <n v="5523"/>
    <s v="P - PROGRAMAS"/>
    <x v="4"/>
    <s v="LINARES"/>
    <s v="PROVINCIAL "/>
    <x v="0"/>
    <s v="N/A"/>
    <s v="6 a 11 años, 11 meses y 29 días"/>
    <s v="F"/>
    <n v="151125"/>
    <n v="36270000"/>
    <n v="36270000"/>
    <n v="1"/>
    <n v="7"/>
    <x v="2"/>
    <n v="1070362"/>
    <s v="PER - CONSTRUYENDO DESDE LA ESPERANZA"/>
    <n v="20"/>
    <n v="0"/>
    <n v="18"/>
    <s v="F"/>
    <s v="LINARES"/>
    <d v="2014-11-14T00:00:00"/>
    <s v="RU 30-06-2019"/>
    <n v="36270000"/>
  </r>
  <r>
    <x v="6"/>
    <n v="5524"/>
    <s v="R - CENTROS RESIDENCIALES"/>
    <x v="8"/>
    <s v="MAULE"/>
    <s v="PROVINCIAL "/>
    <x v="0"/>
    <s v="NO"/>
    <s v="0 a 5 años, 11 meses y 29 días"/>
    <s v="A"/>
    <n v="537712.5"/>
    <n v="129051000"/>
    <n v="129051000"/>
    <n v="1"/>
    <n v="7"/>
    <x v="5"/>
    <n v="1070510"/>
    <s v="RLP - RESIDENCIA DE VIDA FAMILIAR INFANTIL SAN JOSE II"/>
    <n v="26"/>
    <n v="0"/>
    <n v="6"/>
    <s v="A"/>
    <s v="MAULE"/>
    <d v="2017-12-12T00:00:00"/>
    <d v="2019-06-12T00:00:00"/>
    <n v="164572200"/>
  </r>
  <r>
    <x v="6"/>
    <n v="5524"/>
    <s v="P - PROGRAMAS"/>
    <x v="4"/>
    <s v="MAULE"/>
    <s v="PROVINCIAL "/>
    <x v="0"/>
    <s v="N/A"/>
    <s v="0 a 5 años, 11 meses y 29 días"/>
    <s v="A"/>
    <n v="151125"/>
    <n v="36270000"/>
    <n v="36270000"/>
    <n v="1"/>
    <n v="7"/>
    <x v="2"/>
    <n v="1070511"/>
    <s v="PER - RESIDENCIA DE VIDA FAMILIAR INFANTIL SAN JOSE II"/>
    <n v="26"/>
    <n v="0"/>
    <n v="6"/>
    <s v="A"/>
    <s v="MAULE"/>
    <d v="2017-12-12T00:00:00"/>
    <d v="2019-06-12T00:00:00"/>
    <n v="47151000"/>
  </r>
  <r>
    <x v="6"/>
    <n v="5525"/>
    <s v="R - CENTROS RESIDENCIALES"/>
    <x v="7"/>
    <s v="TALCA"/>
    <s v="PROVINCIAL "/>
    <x v="2"/>
    <s v="NO"/>
    <s v="12 a 17 años, 11 meses y 29 días"/>
    <s v="M"/>
    <n v="384150"/>
    <n v="55317600"/>
    <n v="55317600"/>
    <n v="1"/>
    <n v="7"/>
    <x v="3"/>
    <n v="1070320"/>
    <s v="RPM - HOGAR FAMILIA NAZARETH"/>
    <n v="12"/>
    <n v="6"/>
    <n v="18"/>
    <s v="M"/>
    <s v="CURICÓ"/>
    <d v="2012-11-16T00:00:00"/>
    <d v="2019-06-12T00:00:00"/>
    <n v="55317600"/>
  </r>
  <r>
    <x v="6"/>
    <n v="5525"/>
    <s v="P - PROGRAMAS"/>
    <x v="4"/>
    <s v="TALCA"/>
    <s v="PROVINCIAL "/>
    <x v="2"/>
    <s v="N/A"/>
    <s v="12 a 17 años, 11 meses y 29 días"/>
    <s v="M"/>
    <n v="151125"/>
    <n v="21762000"/>
    <n v="21762000"/>
    <n v="1"/>
    <s v="META PRESUPUESTARIA 2019 (12 PLAZAS PER  PARA LA  RPM - HOGAR FAMILIA NAZARETH - 1070320)"/>
    <x v="1"/>
    <m/>
    <m/>
    <m/>
    <m/>
    <m/>
    <m/>
    <m/>
    <m/>
    <m/>
    <m/>
  </r>
  <r>
    <x v="7"/>
    <n v="5526"/>
    <s v="R - CENTROS RESIDENCIALES"/>
    <x v="7"/>
    <s v="CORONEL"/>
    <s v="REGIONAL"/>
    <x v="0"/>
    <s v="NO"/>
    <s v="6 a 17 años, 11 meses y 29 días"/>
    <s v="M"/>
    <n v="418275.00000000006"/>
    <n v="100386000.00000001"/>
    <n v="100386000.00000001"/>
    <n v="1"/>
    <n v="8"/>
    <x v="0"/>
    <n v="1080853"/>
    <s v="REM - SAN JOSE DE CORONEL"/>
    <n v="25"/>
    <n v="6"/>
    <n v="18"/>
    <s v="A"/>
    <s v="CORONEL"/>
    <d v="2017-04-20T00:00:00"/>
    <s v="RU 30-06-2019"/>
    <n v="122411250.00000003"/>
  </r>
  <r>
    <x v="7"/>
    <n v="5526"/>
    <s v="P - PROGRAMAS"/>
    <x v="4"/>
    <s v="CORONEL"/>
    <s v="REGIONAL"/>
    <x v="0"/>
    <s v="N/A"/>
    <s v="6 a 17 años, 11 meses y 29 días"/>
    <s v="M"/>
    <n v="172282.5"/>
    <n v="41347800"/>
    <n v="41347800"/>
    <n v="1"/>
    <n v="8"/>
    <x v="2"/>
    <n v="1080854"/>
    <s v="PER - SAN JOSE DE CORONEL"/>
    <n v="25"/>
    <n v="6"/>
    <n v="17"/>
    <s v="A"/>
    <s v="CORONEL"/>
    <d v="2017-04-20T00:00:00"/>
    <s v="RU 30-06-2019"/>
    <n v="51684750"/>
  </r>
  <r>
    <x v="7"/>
    <n v="5527"/>
    <s v="R - CENTROS RESIDENCIALES"/>
    <x v="7"/>
    <s v="LEBU"/>
    <s v="REGIONAL"/>
    <x v="5"/>
    <s v="NO"/>
    <s v="6 a 17 años, 11 meses y 29 días"/>
    <s v="A"/>
    <n v="452400.00000000006"/>
    <n v="81432000.000000015"/>
    <n v="81432000.000000015"/>
    <n v="1"/>
    <n v="8"/>
    <x v="0"/>
    <n v="1080751"/>
    <s v="REM - JUAN APOSTOL LEBU"/>
    <n v="29"/>
    <n v="0"/>
    <n v="17"/>
    <s v="A"/>
    <s v="LEBU"/>
    <d v="2015-10-01T00:00:00"/>
    <s v="RU 30-06-2019"/>
    <n v="153872550"/>
  </r>
  <r>
    <x v="7"/>
    <n v="5527"/>
    <s v="P - PROGRAMAS"/>
    <x v="4"/>
    <s v="LEBU"/>
    <s v="REGIONAL"/>
    <x v="5"/>
    <s v="N/A"/>
    <s v="6 a 17 años, 11 meses y 29 días"/>
    <s v="A"/>
    <n v="193440.00000000003"/>
    <n v="34819200.000000007"/>
    <n v="34819200.000000007"/>
    <n v="1"/>
    <n v="8"/>
    <x v="2"/>
    <n v="1080752"/>
    <s v="PER - JUAN APOSTOL LEBU"/>
    <n v="29"/>
    <n v="0"/>
    <n v="17"/>
    <s v="A"/>
    <s v="LEBU"/>
    <d v="2015-10-01T00:00:00"/>
    <s v="RU 30-06-2019"/>
    <n v="67317120.000000015"/>
  </r>
  <r>
    <x v="7"/>
    <n v="5528"/>
    <s v="R - CENTROS RESIDENCIALES"/>
    <x v="7"/>
    <s v="CORONEL"/>
    <s v="REGIONAL"/>
    <x v="5"/>
    <s v="NO"/>
    <s v="6 a 17 años, 11 meses y 29 días"/>
    <s v="M"/>
    <n v="418275.00000000006"/>
    <n v="75289500.000000015"/>
    <n v="75289500.000000015"/>
    <n v="1"/>
    <n v="8"/>
    <x v="3"/>
    <n v="1080606"/>
    <s v="RPM - FARO DE LUZ Y ESPERANZA"/>
    <n v="20"/>
    <n v="6"/>
    <n v="18"/>
    <s v="F"/>
    <s v="CORONEL"/>
    <d v="2013-04-25T00:00:00"/>
    <s v="RU 30-06-2019"/>
    <n v="100386000"/>
  </r>
  <r>
    <x v="7"/>
    <n v="5528"/>
    <s v="P - PROGRAMAS"/>
    <x v="4"/>
    <s v="CORONEL"/>
    <s v="REGIONAL"/>
    <x v="5"/>
    <s v="N/A"/>
    <s v="6 a 17 años, 11 meses y 29 días"/>
    <s v="M"/>
    <n v="172282.5"/>
    <n v="31010850"/>
    <n v="31010850"/>
    <n v="1"/>
    <m/>
    <x v="1"/>
    <m/>
    <m/>
    <m/>
    <m/>
    <m/>
    <m/>
    <m/>
    <m/>
    <m/>
    <m/>
  </r>
  <r>
    <x v="7"/>
    <n v="5529"/>
    <s v="R - CENTROS RESIDENCIALES"/>
    <x v="7"/>
    <s v="LOS ANGELES"/>
    <s v="REGIONAL"/>
    <x v="4"/>
    <s v="NO"/>
    <s v="6 a 11 años, 11 meses y 29 días"/>
    <s v="A"/>
    <n v="418275.00000000006"/>
    <n v="125482500.00000003"/>
    <n v="125482500.00000003"/>
    <n v="1"/>
    <n v="8"/>
    <x v="3"/>
    <n v="1080605"/>
    <s v="RPM - RESIDENCIA SANTA MARIA DE LOS ANGELES"/>
    <n v="20"/>
    <n v="6"/>
    <n v="17"/>
    <s v="A"/>
    <s v="LOS ANGELES"/>
    <d v="2013-04-26T00:00:00"/>
    <s v="AD RU 30-06-2019"/>
    <n v="100386000"/>
  </r>
  <r>
    <x v="7"/>
    <m/>
    <m/>
    <x v="9"/>
    <m/>
    <m/>
    <x v="10"/>
    <m/>
    <m/>
    <m/>
    <m/>
    <m/>
    <m/>
    <m/>
    <n v="8"/>
    <x v="2"/>
    <n v="1080757"/>
    <s v="PER - ALDEA INFANTILES SOS BULNES"/>
    <n v="15"/>
    <m/>
    <m/>
    <m/>
    <s v="BULNES"/>
    <d v="2017-12-12T00:00:00"/>
    <s v="CERRADO"/>
    <n v="31010850"/>
  </r>
  <r>
    <x v="7"/>
    <n v="5529"/>
    <s v="R - CENTROS RESIDENCIALES"/>
    <x v="4"/>
    <s v="LOS ANGELES"/>
    <s v="REGIONAL"/>
    <x v="4"/>
    <s v="N/A"/>
    <s v="6 a 11 años, 11 meses y 29 días"/>
    <s v="A"/>
    <n v="172282.5"/>
    <n v="51684750"/>
    <n v="51684750"/>
    <n v="1"/>
    <n v="8"/>
    <x v="3"/>
    <n v="1080600"/>
    <s v="RPM - RESIDENCIA PADRE HERNAN"/>
    <n v="10"/>
    <n v="6"/>
    <n v="17"/>
    <s v="M"/>
    <s v="LOS ANGELES"/>
    <d v="2012-11-05T00:00:00"/>
    <s v="AD RU 30-06-2019"/>
    <n v="50193000"/>
  </r>
  <r>
    <x v="7"/>
    <n v="5530"/>
    <s v="R - CENTROS RESIDENCIALES"/>
    <x v="7"/>
    <s v="CONCEPCIÓN"/>
    <s v="REGIONAL"/>
    <x v="14"/>
    <s v="NO"/>
    <s v="12 a 17 años, 11 meses y 29 días"/>
    <s v="F"/>
    <n v="418275.00000000006"/>
    <n v="85328100.000000015"/>
    <n v="85328100.000000015"/>
    <n v="1"/>
    <n v="8"/>
    <x v="3"/>
    <n v="1080593"/>
    <s v="RPM - NATIVIDAD DE MARIA"/>
    <n v="17"/>
    <n v="6"/>
    <n v="18"/>
    <s v="F"/>
    <s v="CONCEPCIÓN"/>
    <d v="2012-12-03T00:00:00"/>
    <s v="CERRADA"/>
    <n v="85328100"/>
  </r>
  <r>
    <x v="7"/>
    <n v="5530"/>
    <s v="P - PROGRAMAS"/>
    <x v="4"/>
    <s v="CONCEPCIÓN"/>
    <s v="REGIONAL"/>
    <x v="14"/>
    <s v="N/A"/>
    <s v="12 a 17 años, 11 meses y 29 días"/>
    <s v="F"/>
    <n v="172282.5"/>
    <n v="35145630"/>
    <n v="35145630"/>
    <n v="1"/>
    <n v="8"/>
    <x v="2"/>
    <n v="1080757"/>
    <s v="PER - ALDEA INFANTILES SOS BULNES"/>
    <n v="15"/>
    <m/>
    <m/>
    <m/>
    <s v="BULNES"/>
    <d v="2017-12-12T00:00:00"/>
    <s v="CERRADO"/>
    <n v="31010850"/>
  </r>
  <r>
    <x v="7"/>
    <n v="5531"/>
    <s v="R - CENTROS RESIDENCIALES"/>
    <x v="7"/>
    <s v="CHIGUAYANTE"/>
    <s v="REGIONAL"/>
    <x v="5"/>
    <s v="NO"/>
    <s v="6 a 17 años, 11 meses y 29 días"/>
    <s v="F"/>
    <n v="418275.00000000006"/>
    <n v="75289500.000000015"/>
    <n v="75289500.000000015"/>
    <n v="1"/>
    <n v="8"/>
    <x v="3"/>
    <n v="1080567"/>
    <s v="RPM - VILLA SANTA MARIA GORETTI"/>
    <n v="40"/>
    <n v="6"/>
    <n v="17"/>
    <s v="F"/>
    <s v="CHIGUAYANTE"/>
    <d v="2012-04-16T00:00:00"/>
    <s v="RU 30-06-2019"/>
    <n v="195858000.00000003"/>
  </r>
  <r>
    <x v="7"/>
    <n v="5531"/>
    <s v="P - PROGRAMAS"/>
    <x v="4"/>
    <s v="CHIGUAYANTE"/>
    <s v="REGIONAL"/>
    <x v="5"/>
    <s v="N/A"/>
    <s v="6 a 17 años, 11 meses y 29 días"/>
    <s v="F"/>
    <n v="172282.5"/>
    <n v="31010850"/>
    <n v="31010850"/>
    <n v="1"/>
    <n v="8"/>
    <x v="1"/>
    <m/>
    <m/>
    <m/>
    <m/>
    <m/>
    <m/>
    <m/>
    <m/>
    <m/>
    <m/>
  </r>
  <r>
    <x v="7"/>
    <n v="5532"/>
    <s v="R - CENTROS RESIDENCIALES"/>
    <x v="7"/>
    <s v="CURANILAHUE"/>
    <s v="REGIONAL"/>
    <x v="0"/>
    <s v="NO"/>
    <s v="12 a 17 años, 11 meses y 29 días"/>
    <s v="F"/>
    <n v="418275.00000000006"/>
    <n v="100386000.00000001"/>
    <n v="100386000.00000001"/>
    <n v="1"/>
    <n v="8"/>
    <x v="3"/>
    <n v="1080563"/>
    <s v="RPM - MANOS ABIERTAS"/>
    <n v="30"/>
    <n v="0"/>
    <n v="18"/>
    <s v="F"/>
    <s v="CURANILAHUE"/>
    <d v="2012-04-16T00:00:00"/>
    <s v="RU 30-06-2019"/>
    <n v="148736250.00000003"/>
  </r>
  <r>
    <x v="7"/>
    <n v="5532"/>
    <s v="P - PROGRAMAS"/>
    <x v="4"/>
    <s v="CURANILAHUE"/>
    <s v="REGIONAL"/>
    <x v="0"/>
    <s v="N/A"/>
    <s v="12 a 17 años, 11 meses y 29 días"/>
    <s v="F"/>
    <n v="172282.5"/>
    <n v="41347800"/>
    <n v="41347800"/>
    <n v="1"/>
    <m/>
    <x v="1"/>
    <m/>
    <m/>
    <m/>
    <m/>
    <m/>
    <m/>
    <m/>
    <m/>
    <m/>
    <m/>
  </r>
  <r>
    <x v="7"/>
    <n v="5533"/>
    <s v="R - CENTROS RESIDENCIALES"/>
    <x v="7"/>
    <s v="SAN PEDRO DE LA PAZ"/>
    <s v="REGIONAL"/>
    <x v="15"/>
    <s v="NO"/>
    <s v="6 a 11 años, 11 meses y 29 días"/>
    <s v="A"/>
    <n v="408037.5"/>
    <n v="171375750"/>
    <n v="171375750"/>
    <n v="1"/>
    <n v="8"/>
    <x v="3"/>
    <n v="1080535"/>
    <s v="RPM - HOGAR DE NIÑOS BERNARDITA SERRANO"/>
    <n v="35"/>
    <n v="6"/>
    <n v="17"/>
    <s v="A"/>
    <s v="SAN PEDRO DE LA PAZ"/>
    <d v="2011-07-01T00:00:00"/>
    <s v="RU 30-06-2019"/>
    <n v="171375750.00000003"/>
  </r>
  <r>
    <x v="7"/>
    <n v="5533"/>
    <s v="P - PROGRAMAS"/>
    <x v="4"/>
    <s v="SAN PEDRO DE LA PAZ"/>
    <s v="REGIONAL"/>
    <x v="15"/>
    <s v="N/A"/>
    <s v="6 a 11 años, 11 meses y 29 días"/>
    <s v="A"/>
    <n v="172282.5"/>
    <n v="72358650"/>
    <n v="72358650"/>
    <n v="1"/>
    <m/>
    <x v="1"/>
    <m/>
    <m/>
    <m/>
    <m/>
    <m/>
    <m/>
    <m/>
    <m/>
    <m/>
    <m/>
  </r>
  <r>
    <x v="7"/>
    <n v="5534"/>
    <s v="R - CENTROS RESIDENCIALES"/>
    <x v="8"/>
    <s v="CURANILAHUE"/>
    <s v="REGIONAL"/>
    <x v="5"/>
    <s v="NO"/>
    <s v="0 a 5 años, 11 meses y 29 días"/>
    <s v="A"/>
    <n v="418275.00000000006"/>
    <n v="75289500.000000015"/>
    <n v="75289500.000000015"/>
    <n v="1"/>
    <s v="RECURSOS REGIONALES"/>
    <x v="1"/>
    <m/>
    <m/>
    <m/>
    <m/>
    <m/>
    <m/>
    <m/>
    <m/>
    <m/>
    <m/>
  </r>
  <r>
    <x v="7"/>
    <n v="5534"/>
    <s v="P - PROGRAMAS"/>
    <x v="4"/>
    <s v="CURANILAHUE"/>
    <s v="REGIONAL"/>
    <x v="5"/>
    <s v="N/A"/>
    <s v="0 a 5 años, 11 meses y 29 días"/>
    <s v="A"/>
    <n v="172282.5"/>
    <n v="31010850"/>
    <n v="31010850"/>
    <n v="1"/>
    <m/>
    <x v="1"/>
    <m/>
    <m/>
    <m/>
    <m/>
    <m/>
    <m/>
    <m/>
    <m/>
    <m/>
    <m/>
  </r>
  <r>
    <x v="8"/>
    <n v="5535"/>
    <s v="R - CENTROS RESIDENCIALES"/>
    <x v="7"/>
    <s v="TRAIGUÉN"/>
    <s v="REGIONAL"/>
    <x v="3"/>
    <s v="NO"/>
    <s v="6 a 17 años, 11 meses y 29 días"/>
    <s v="M"/>
    <n v="408037.5"/>
    <n v="146893500"/>
    <n v="146893500"/>
    <n v="1"/>
    <n v="9"/>
    <x v="0"/>
    <n v="1090498"/>
    <s v="REM - BEATA LAURA VICUÑA"/>
    <n v="35"/>
    <n v="6"/>
    <n v="18"/>
    <s v="M"/>
    <s v="TRAIGUÉN"/>
    <d v="2017-12-12T00:00:00"/>
    <d v="2019-06-12T00:00:00"/>
    <n v="171375750.00000003"/>
  </r>
  <r>
    <x v="8"/>
    <n v="5535"/>
    <s v="P - PROGRAMAS"/>
    <x v="4"/>
    <s v="TRAIGUÉN"/>
    <s v="REGIONAL"/>
    <x v="3"/>
    <s v="N/A"/>
    <s v="6 a 17 años, 11 meses y 29 días"/>
    <s v="M"/>
    <n v="172282.5"/>
    <n v="62021700"/>
    <n v="62021700"/>
    <n v="1"/>
    <n v="9"/>
    <x v="2"/>
    <n v="1090499"/>
    <s v="PER - BEATA LAURA VICUÑA"/>
    <n v="35"/>
    <n v="6"/>
    <n v="18"/>
    <s v="M"/>
    <s v="TRAIGUÉN"/>
    <d v="2017-12-12T00:00:00"/>
    <d v="2019-06-12T00:00:00"/>
    <n v="72358650"/>
  </r>
  <r>
    <x v="8"/>
    <n v="5536"/>
    <s v="R - CENTROS RESIDENCIALES"/>
    <x v="8"/>
    <s v="CURARREHUE"/>
    <s v="REGIONAL"/>
    <x v="0"/>
    <s v="NO"/>
    <s v="0 a 5 años, 11 meses y 29 días"/>
    <s v="A"/>
    <n v="571837.5"/>
    <n v="137241000"/>
    <n v="137241000"/>
    <n v="1"/>
    <n v="9"/>
    <x v="5"/>
    <n v="1090416"/>
    <s v="RLP - SAN MARTIN"/>
    <n v="20"/>
    <n v="0"/>
    <n v="5"/>
    <s v="A"/>
    <s v="CURARREHUE"/>
    <d v="2015-10-01T00:00:00"/>
    <s v="RU 30-06-2019"/>
    <n v="137241000"/>
  </r>
  <r>
    <x v="8"/>
    <n v="5536"/>
    <s v="P - PROGRAMAS"/>
    <x v="4"/>
    <s v="CURARREHUE"/>
    <s v="REGIONAL"/>
    <x v="0"/>
    <s v="N/A"/>
    <s v="0 a 5 años, 11 meses y 29 días"/>
    <s v="A"/>
    <n v="172282.5"/>
    <n v="41347800"/>
    <n v="41347800"/>
    <n v="1"/>
    <n v="9"/>
    <x v="2"/>
    <n v="1090417"/>
    <s v="PER - SAN MARTIN"/>
    <n v="20"/>
    <n v="0"/>
    <n v="5"/>
    <s v="A"/>
    <s v="CURARREHUE"/>
    <d v="2015-10-01T00:00:00"/>
    <s v="RU 30-06-2019"/>
    <n v="41347800"/>
  </r>
  <r>
    <x v="8"/>
    <n v="5537"/>
    <s v="R - CENTROS RESIDENCIALES"/>
    <x v="7"/>
    <s v="ANGOL"/>
    <s v="REGIONAL"/>
    <x v="0"/>
    <s v="NO"/>
    <s v="6 a 17 años, 11 meses y 29 días"/>
    <s v="F"/>
    <n v="418275.00000000006"/>
    <n v="100386000.00000001"/>
    <n v="100386000.00000001"/>
    <n v="1"/>
    <n v="9"/>
    <x v="0"/>
    <n v="1090457"/>
    <s v="REM - SANTA TRINIDAD"/>
    <n v="20"/>
    <n v="6"/>
    <n v="18"/>
    <s v="A"/>
    <s v="ANGOL"/>
    <d v="2016-12-30T00:00:00"/>
    <d v="2019-06-30T00:00:00"/>
    <n v="100386000"/>
  </r>
  <r>
    <x v="8"/>
    <n v="5537"/>
    <s v="P - PROGRAMAS"/>
    <x v="4"/>
    <s v="ANGOL"/>
    <s v="REGIONAL"/>
    <x v="0"/>
    <s v="N/A"/>
    <s v="6 a 17 años, 11 meses y 29 días"/>
    <s v="F"/>
    <n v="172282.5"/>
    <n v="41347800"/>
    <n v="41347800"/>
    <n v="1"/>
    <n v="9"/>
    <x v="2"/>
    <n v="1090458"/>
    <s v="PER - SANTA TRINIDAD"/>
    <n v="20"/>
    <n v="6"/>
    <n v="18"/>
    <s v="A"/>
    <s v="ANGOL"/>
    <d v="2016-12-30T00:00:00"/>
    <d v="2019-06-30T00:00:00"/>
    <n v="41347800"/>
  </r>
  <r>
    <x v="8"/>
    <n v="5538"/>
    <s v="R - CENTROS RESIDENCIALES"/>
    <x v="7"/>
    <s v="TEMUCO"/>
    <s v="REGIONAL"/>
    <x v="0"/>
    <s v="NO"/>
    <s v="6 a 17 años, 11 meses y 29 días"/>
    <s v="M"/>
    <n v="418275.00000000006"/>
    <n v="100386000.00000001"/>
    <n v="100386000.00000001"/>
    <n v="1"/>
    <n v="9"/>
    <x v="0"/>
    <n v="1090462"/>
    <s v="REM - FRANCISCO VALDES"/>
    <n v="20"/>
    <n v="6"/>
    <n v="18"/>
    <s v="M"/>
    <s v="TEMUCO"/>
    <d v="2016-12-30T00:00:00"/>
    <d v="2019-06-30T00:00:00"/>
    <n v="100386000"/>
  </r>
  <r>
    <x v="8"/>
    <n v="5538"/>
    <s v="P - PROGRAMAS"/>
    <x v="4"/>
    <s v="TEMUCO"/>
    <s v="REGIONAL"/>
    <x v="0"/>
    <s v="N/A"/>
    <s v="6 a 17 años, 11 meses y 29 días"/>
    <s v="M"/>
    <n v="172282.5"/>
    <n v="41347800"/>
    <n v="41347800"/>
    <n v="1"/>
    <n v="9"/>
    <x v="2"/>
    <n v="1090463"/>
    <s v="PER - FRANCISCO VALDES"/>
    <n v="20"/>
    <n v="6"/>
    <n v="18"/>
    <s v="M"/>
    <s v="TEMUCO"/>
    <d v="2016-12-30T00:00:00"/>
    <d v="2019-06-30T00:00:00"/>
    <n v="41347800"/>
  </r>
  <r>
    <x v="9"/>
    <n v="5539"/>
    <s v="R - CENTROS RESIDENCIALES"/>
    <x v="7"/>
    <s v="OSORNO"/>
    <s v="REGIONAL"/>
    <x v="5"/>
    <s v="NO"/>
    <s v="12 a 17 años, 11 meses y 29 días"/>
    <s v="M"/>
    <n v="418275.00000000006"/>
    <n v="75289500.000000015"/>
    <n v="75289500.000000015"/>
    <n v="1"/>
    <n v="10"/>
    <x v="3"/>
    <n v="1100353"/>
    <s v="RPM - CATALINA KEIM"/>
    <n v="60"/>
    <n v="6"/>
    <n v="18"/>
    <s v="M"/>
    <s v="OSORNO"/>
    <d v="2012-07-10T00:00:00"/>
    <s v="RU 30-06-2019"/>
    <n v="210600000"/>
  </r>
  <r>
    <x v="9"/>
    <n v="5539"/>
    <s v="P - PROGRAMAS"/>
    <x v="4"/>
    <s v="OSORNO"/>
    <s v="REGIONAL"/>
    <x v="5"/>
    <s v="N/A"/>
    <s v="12 a 17 años, 11 meses y 29 días"/>
    <s v="M"/>
    <n v="172282.5"/>
    <n v="31010850"/>
    <n v="31010850"/>
    <n v="1"/>
    <n v="10"/>
    <x v="2"/>
    <n v="1100433"/>
    <s v="PER - CATALINA KEIM"/>
    <n v="30"/>
    <n v="6"/>
    <n v="18"/>
    <s v="M"/>
    <s v="OSORNO"/>
    <d v="2015-10-01T00:00:00"/>
    <s v="RU 30-06-2019"/>
    <n v="62021700"/>
  </r>
  <r>
    <x v="9"/>
    <n v="5540"/>
    <s v="R - CENTROS RESIDENCIALES"/>
    <x v="7"/>
    <s v="OSORNO"/>
    <s v="REGIONAL"/>
    <x v="5"/>
    <s v="NO"/>
    <s v="6 a 11 años, 11 meses y 29 días"/>
    <s v="M"/>
    <n v="418275.00000000006"/>
    <n v="75289500.000000015"/>
    <n v="75289500.000000015"/>
    <n v="1"/>
    <n v="10"/>
    <x v="1"/>
    <m/>
    <m/>
    <m/>
    <m/>
    <m/>
    <m/>
    <m/>
    <m/>
    <m/>
    <m/>
  </r>
  <r>
    <x v="9"/>
    <n v="5540"/>
    <s v="P - PROGRAMAS"/>
    <x v="4"/>
    <s v="OSORNO"/>
    <s v="REGIONAL"/>
    <x v="5"/>
    <s v="N/A"/>
    <s v="6 a 11 años, 11 meses y 29 días"/>
    <s v="M"/>
    <n v="172282.5"/>
    <n v="31010850"/>
    <n v="31010850"/>
    <n v="1"/>
    <n v="10"/>
    <x v="1"/>
    <m/>
    <m/>
    <m/>
    <m/>
    <m/>
    <m/>
    <m/>
    <m/>
    <m/>
    <m/>
  </r>
  <r>
    <x v="9"/>
    <n v="5541"/>
    <s v="R - CENTROS RESIDENCIALES"/>
    <x v="0"/>
    <s v="LOS MUERMOS"/>
    <m/>
    <x v="5"/>
    <s v="NO"/>
    <s v="12 a 17 años, 11 meses y 29 días"/>
    <m/>
    <n v="495056.25"/>
    <n v="89110125"/>
    <n v="89110125"/>
    <n v="1"/>
    <n v="10"/>
    <x v="1"/>
    <n v="1100364"/>
    <s v="REM - AMANCAY"/>
    <n v="20"/>
    <m/>
    <m/>
    <m/>
    <s v="CASTRO"/>
    <d v="2012-09-20T00:00:00"/>
    <s v="CERRADA"/>
    <n v="108576000"/>
  </r>
  <r>
    <x v="9"/>
    <n v="5541"/>
    <s v="P - PROGRAMAS"/>
    <x v="1"/>
    <s v="LOS MUERMOS"/>
    <m/>
    <x v="5"/>
    <s v="N/A"/>
    <s v="12 a 17 años, 11 meses y 29 días"/>
    <m/>
    <n v="172282.5"/>
    <n v="31010850"/>
    <n v="31010850"/>
    <n v="1"/>
    <n v="10"/>
    <x v="1"/>
    <n v="1100365"/>
    <s v="PER - AMANCAY"/>
    <n v="15"/>
    <m/>
    <m/>
    <m/>
    <s v="CASTRO"/>
    <d v="2012-09-20T00:00:00"/>
    <s v="CERRADA"/>
    <n v="34819200"/>
  </r>
  <r>
    <x v="9"/>
    <n v="5541"/>
    <s v="P - PROGRAMAS"/>
    <x v="2"/>
    <s v="LOS MUERMOS"/>
    <m/>
    <x v="5"/>
    <s v="N/A"/>
    <s v="12 a 17 años, 11 meses y 29 días"/>
    <m/>
    <n v="172282.5"/>
    <n v="31010850"/>
    <n v="31010850"/>
    <n v="1"/>
    <n v="10"/>
    <x v="1"/>
    <s v="RECURSOS REGIONALES"/>
    <m/>
    <m/>
    <m/>
    <m/>
    <m/>
    <m/>
    <m/>
    <m/>
    <m/>
  </r>
  <r>
    <x v="9"/>
    <n v="5542"/>
    <s v="R - CENTROS RESIDENCIALES"/>
    <x v="0"/>
    <s v="PUERTO MONTT"/>
    <m/>
    <x v="5"/>
    <s v="NO"/>
    <s v="6 a 12 años, 11 meses y 29 días"/>
    <m/>
    <n v="495056.25"/>
    <n v="89110125"/>
    <n v="89110125"/>
    <n v="1"/>
    <n v="10"/>
    <x v="1"/>
    <n v="1100498"/>
    <s v="REM - CALBUCO"/>
    <n v="20"/>
    <m/>
    <m/>
    <m/>
    <s v="CALBUCO"/>
    <m/>
    <s v="CERRADA"/>
    <n v="100386000"/>
  </r>
  <r>
    <x v="9"/>
    <n v="5542"/>
    <s v="P - PROGRAMAS"/>
    <x v="1"/>
    <s v="PUERTO MONTT"/>
    <m/>
    <x v="5"/>
    <s v="N/A"/>
    <s v="6 a 12 años, 11 meses y 29 días"/>
    <m/>
    <n v="172282.5"/>
    <n v="31010850"/>
    <n v="31010850"/>
    <n v="1"/>
    <n v="10"/>
    <x v="1"/>
    <n v="1100499"/>
    <s v="PER - CALBUCO"/>
    <n v="20"/>
    <m/>
    <m/>
    <m/>
    <s v="CALBUCO"/>
    <m/>
    <s v="CERRADA"/>
    <n v="41347800"/>
  </r>
  <r>
    <x v="9"/>
    <n v="5542"/>
    <s v="P - PROGRAMAS"/>
    <x v="2"/>
    <s v="PUERTO MONTT"/>
    <m/>
    <x v="5"/>
    <s v="N/A"/>
    <s v="6 a 12 años, 11 meses y 29 días"/>
    <m/>
    <n v="172282.5"/>
    <n v="31010850"/>
    <n v="31010850"/>
    <n v="1"/>
    <m/>
    <x v="1"/>
    <s v="RECURSOS REGIONALES"/>
    <m/>
    <m/>
    <m/>
    <m/>
    <m/>
    <m/>
    <m/>
    <m/>
    <m/>
  </r>
  <r>
    <x v="10"/>
    <n v="5543"/>
    <s v="R - CENTROS RESIDENCIALES"/>
    <x v="8"/>
    <s v="COYHAIQUE"/>
    <s v="REGIONAL"/>
    <x v="0"/>
    <s v="NO"/>
    <s v="0 a 5 años, 11 meses y 29 días"/>
    <s v="A"/>
    <n v="742462.5"/>
    <n v="178191000"/>
    <n v="178191000"/>
    <n v="1"/>
    <n v="11"/>
    <x v="5"/>
    <n v="1110131"/>
    <s v="RLP - RENUEVITO COYHAIQUE"/>
    <n v="20"/>
    <n v="0"/>
    <n v="6"/>
    <s v="A"/>
    <s v="COYHAIQUE"/>
    <d v="2015-08-26T00:00:00"/>
    <s v="RU 30-06-2019"/>
    <n v="178191000"/>
  </r>
  <r>
    <x v="10"/>
    <n v="5543"/>
    <s v="P - PROGRAMAS"/>
    <x v="4"/>
    <s v="COYHAIQUE"/>
    <s v="REGIONAL"/>
    <x v="0"/>
    <s v="N/A"/>
    <s v="0 a 5 años, 11 meses y 29 días"/>
    <s v="A"/>
    <n v="278070.00000000006"/>
    <n v="66736800.000000015"/>
    <n v="66736800.000000015"/>
    <n v="1"/>
    <n v="11"/>
    <x v="2"/>
    <n v="1110132"/>
    <s v="PER - RENUEVITO COYHAIQUE"/>
    <n v="20"/>
    <n v="0"/>
    <n v="6"/>
    <s v="A"/>
    <s v="COYHAIQUE"/>
    <d v="2015-08-26T00:00:00"/>
    <s v="RU 30-06-2019"/>
    <n v="66736800.000000015"/>
  </r>
  <r>
    <x v="11"/>
    <n v="5544"/>
    <s v="R - CENTROS RESIDENCIALES"/>
    <x v="5"/>
    <s v="PUNTA ARENAS"/>
    <s v="REGIONAL"/>
    <x v="0"/>
    <s v="NO"/>
    <s v="12 a 17 años, 11 meses y 29 días"/>
    <m/>
    <n v="597431.25"/>
    <n v="143383500"/>
    <n v="143383500"/>
    <n v="1"/>
    <n v="12"/>
    <x v="0"/>
    <n v="1120127"/>
    <s v="REM - HOGAR DEL NIÑO MIRAFLORES"/>
    <n v="50"/>
    <m/>
    <m/>
    <m/>
    <s v="PUNTA ARENAS"/>
    <d v="2015-09-25T00:00:00"/>
    <s v="CERRADA"/>
    <n v="230947200.00000006"/>
  </r>
  <r>
    <x v="11"/>
    <n v="5544"/>
    <s v="P - PROGRAMAS"/>
    <x v="4"/>
    <s v="PUNTA ARENAS"/>
    <s v="REGIONAL"/>
    <x v="0"/>
    <s v="N/A"/>
    <s v="12 a 17 años, 11 meses y 29 días"/>
    <m/>
    <n v="235755.00000000003"/>
    <n v="56581200.000000015"/>
    <n v="56581200.000000015"/>
    <n v="1"/>
    <n v="12"/>
    <x v="2"/>
    <n v="1120128"/>
    <s v="PER - HOGAR DEL NIÑO MIRAFLORES"/>
    <n v="30"/>
    <m/>
    <m/>
    <m/>
    <s v="PUNTA ARENAS"/>
    <d v="2015-09-25T00:00:00"/>
    <s v="CERRADA"/>
    <n v="84871800.000000015"/>
  </r>
  <r>
    <x v="12"/>
    <n v="5545"/>
    <s v="R - CENTROS RESIDENCIALES"/>
    <x v="8"/>
    <s v="ÑUÑOA"/>
    <s v="REGIONAL"/>
    <x v="3"/>
    <s v="NO"/>
    <s v="0 a 2 años, 11 meses y 29 días"/>
    <s v="A"/>
    <n v="527475"/>
    <n v="189891000"/>
    <n v="189891000"/>
    <n v="1"/>
    <n v="13"/>
    <x v="8"/>
    <n v="1130548"/>
    <s v="RPL - HOGAR MISION DE MARIA"/>
    <n v="30"/>
    <n v="0"/>
    <n v="6"/>
    <s v="A"/>
    <s v="ÑUÑOA"/>
    <d v="2005-12-01T00:00:00"/>
    <s v="RU 30-06-2019"/>
    <n v="214461000"/>
  </r>
  <r>
    <x v="12"/>
    <n v="5545"/>
    <s v="P - PROGRAMAS"/>
    <x v="4"/>
    <s v="ÑUÑOA"/>
    <s v="REGIONAL"/>
    <x v="3"/>
    <s v="N/A"/>
    <s v="0 a 2 años, 11 meses y 29 días"/>
    <s v="A"/>
    <n v="151125"/>
    <n v="54405000"/>
    <n v="54405000"/>
    <n v="1"/>
    <s v="META PRESUPUESTARIA 2019 PER ALDEA MIS AMIGOS"/>
    <x v="1"/>
    <m/>
    <m/>
    <m/>
    <m/>
    <m/>
    <m/>
    <m/>
    <m/>
    <m/>
    <n v="54405000"/>
  </r>
  <r>
    <x v="12"/>
    <n v="5546"/>
    <s v="R - CENTROS RESIDENCIALES"/>
    <x v="7"/>
    <s v="PUENTE ALTO"/>
    <s v="REGIONAL"/>
    <x v="3"/>
    <s v="NO"/>
    <s v="6 a 17 años, 11 meses y 29 días"/>
    <s v="F"/>
    <n v="373912.49999999994"/>
    <n v="134608499.99999997"/>
    <n v="134608499.99999997"/>
    <n v="1"/>
    <n v="13"/>
    <x v="3"/>
    <n v="1131059"/>
    <s v="RPM - HOGAR DE NIÑAS NUESTRA SEÑORA DE LA PAZ"/>
    <n v="30"/>
    <n v="6"/>
    <n v="17"/>
    <s v="F"/>
    <s v="PUENTE ALTO"/>
    <d v="2011-07-01T00:00:00"/>
    <s v="RU 30-06-2019"/>
    <n v="134608499.99999997"/>
  </r>
  <r>
    <x v="12"/>
    <n v="5546"/>
    <s v="P - PROGRAMAS"/>
    <x v="4"/>
    <s v="PUENTE ALTO"/>
    <s v="REGIONAL"/>
    <x v="3"/>
    <s v="N/A"/>
    <s v="6 a 17 años, 11 meses y 29 días"/>
    <s v="F"/>
    <n v="151125"/>
    <n v="54405000"/>
    <n v="54405000"/>
    <n v="1"/>
    <s v="META PRESUPUESTARIA 2019 PER ALDEA MIS AMIGOS"/>
    <x v="1"/>
    <m/>
    <m/>
    <m/>
    <m/>
    <m/>
    <m/>
    <m/>
    <m/>
    <m/>
    <n v="54405000"/>
  </r>
  <r>
    <x v="12"/>
    <n v="5547"/>
    <s v="R - CENTROS RESIDENCIALES"/>
    <x v="7"/>
    <s v="RENCA"/>
    <s v="REGIONAL"/>
    <x v="0"/>
    <s v="NO"/>
    <s v="6 a 11 años, 11 meses y 29 días"/>
    <s v="F"/>
    <n v="384150"/>
    <n v="92196000"/>
    <n v="92196000"/>
    <n v="1"/>
    <n v="13"/>
    <x v="0"/>
    <n v="1131082"/>
    <s v="REM - AMOR, PAZ Y ALEGRIA"/>
    <n v="20"/>
    <m/>
    <m/>
    <m/>
    <m/>
    <d v="2011-10-14T00:00:00"/>
    <s v="RU 30-06-2019"/>
    <n v="126594000"/>
  </r>
  <r>
    <x v="12"/>
    <n v="5547"/>
    <s v="P - PROGRAMAS"/>
    <x v="4"/>
    <s v="RENCA"/>
    <s v="REGIONAL"/>
    <x v="0"/>
    <s v="N/A"/>
    <s v="6 a 11 años, 11 meses y 29 días"/>
    <s v="F"/>
    <n v="151125"/>
    <n v="36270000"/>
    <n v="36270000"/>
    <n v="1"/>
    <n v="13"/>
    <x v="2"/>
    <n v="1131083"/>
    <s v="PER - AMOR, PAZ Y ALEGRIA"/>
    <n v="10"/>
    <m/>
    <m/>
    <m/>
    <m/>
    <d v="2011-10-14T00:00:00"/>
    <s v="RU 30-06-2019"/>
    <n v="18135000"/>
  </r>
  <r>
    <x v="12"/>
    <n v="5548"/>
    <s v="R - CENTROS RESIDENCIALES"/>
    <x v="5"/>
    <s v="PROVIDENCIA "/>
    <s v="REGIONAL"/>
    <x v="13"/>
    <s v="NO"/>
    <s v="12 a 17 años, 11 meses y 29 días"/>
    <s v="M"/>
    <n v="460931.25000000006"/>
    <n v="55311750.000000015"/>
    <n v="55311750.000000015"/>
    <n v="1"/>
    <n v="13"/>
    <x v="0"/>
    <n v="1131976"/>
    <s v="REM - HOGAR MARURI"/>
    <n v="16"/>
    <n v="6"/>
    <n v="18"/>
    <s v="M"/>
    <s v="INDEPENDENCIA"/>
    <d v="2011-10-01T00:00:00"/>
    <s v="RU 30-06-2019"/>
    <n v="88498800.000000015"/>
  </r>
  <r>
    <x v="12"/>
    <n v="5548"/>
    <s v="P - PROGRAMAS"/>
    <x v="4"/>
    <s v="PROVIDENCIA "/>
    <s v="REGIONAL"/>
    <x v="13"/>
    <s v="N/A"/>
    <s v="12 a 17 años, 11 meses y 29 días"/>
    <s v="M"/>
    <n v="151125"/>
    <n v="18135000"/>
    <n v="18135000"/>
    <n v="1"/>
    <n v="13"/>
    <x v="2"/>
    <n v="1131975"/>
    <s v="PER - HOGAR MARURI"/>
    <n v="8"/>
    <n v="6"/>
    <n v="18"/>
    <s v="M"/>
    <s v="INDEPENDENCIA"/>
    <d v="2011-10-01T00:00:00"/>
    <s v="RU 30-06-2019"/>
    <n v="14508000"/>
  </r>
  <r>
    <x v="12"/>
    <n v="5549"/>
    <s v="R - CENTROS RESIDENCIALES"/>
    <x v="5"/>
    <s v="ESTACIÓN CENTRAL"/>
    <s v="REGIONAL"/>
    <x v="2"/>
    <s v="NO"/>
    <s v="12 a 17 años, 11 meses y 29 días"/>
    <s v="F"/>
    <n v="384150"/>
    <n v="55317600"/>
    <n v="55317600"/>
    <n v="1"/>
    <n v="13"/>
    <x v="0"/>
    <n v="1131113"/>
    <s v="REM - HOGAR ARICA"/>
    <n v="16"/>
    <n v="6"/>
    <n v="18"/>
    <s v="F"/>
    <s v="ESTACIÓN CENTRAL"/>
    <d v="2011-10-01T00:00:00"/>
    <s v="RU 30-06-2019"/>
    <n v="73756800"/>
  </r>
  <r>
    <x v="12"/>
    <n v="5549"/>
    <s v="P - PROGRAMAS"/>
    <x v="4"/>
    <s v="ESTACIÓN CENTRAL"/>
    <s v="REGIONAL"/>
    <x v="2"/>
    <s v="N/A"/>
    <s v="12 a 17 años, 11 meses y 29 días"/>
    <s v="F"/>
    <n v="151125"/>
    <n v="21762000"/>
    <n v="21762000"/>
    <n v="1"/>
    <n v="13"/>
    <x v="2"/>
    <n v="1131114"/>
    <s v="PER - HOGAR ARICA"/>
    <n v="8"/>
    <n v="6"/>
    <n v="18"/>
    <s v="F"/>
    <s v="ESTACIÓN CENTRAL"/>
    <d v="2011-10-01T00:00:00"/>
    <s v="RU 30-06-2019"/>
    <n v="14508000"/>
  </r>
  <r>
    <x v="12"/>
    <n v="5550"/>
    <s v="R - CENTROS RESIDENCIALES"/>
    <x v="10"/>
    <s v="SANTIAGO"/>
    <s v="REGIONAL"/>
    <x v="16"/>
    <s v="NO"/>
    <s v="6 a 17 años, 11 meses y 29 días"/>
    <s v="M"/>
    <n v="384150"/>
    <n v="73756800"/>
    <n v="73756800"/>
    <n v="1"/>
    <n v="13"/>
    <x v="3"/>
    <n v="1131126"/>
    <s v="RPM - HOGAR ACOGEME"/>
    <n v="16"/>
    <n v="6"/>
    <n v="18"/>
    <s v="M"/>
    <s v="SANTIAGO"/>
    <d v="2012-01-01T00:00:00"/>
    <s v="RU 30-06-2019"/>
    <n v="73756800"/>
  </r>
  <r>
    <x v="12"/>
    <n v="5551"/>
    <s v="R - CENTROS RESIDENCIALES"/>
    <x v="7"/>
    <s v="CALERA DE TANGO"/>
    <s v="REGIONAL"/>
    <x v="0"/>
    <s v="NO"/>
    <s v="6 a 11 años, 11 meses y 29 días"/>
    <s v="M"/>
    <n v="384150"/>
    <n v="92196000"/>
    <n v="92196000"/>
    <n v="1"/>
    <n v="13"/>
    <x v="3"/>
    <n v="1131200"/>
    <s v="RPM - RESIDENCIA RENUEVO"/>
    <n v="20"/>
    <n v="6"/>
    <n v="18"/>
    <s v="M"/>
    <s v="CALERA DE TANGO"/>
    <d v="2012-09-05T00:00:00"/>
    <s v="RU 30-06-2019"/>
    <n v="92196000"/>
  </r>
  <r>
    <x v="12"/>
    <n v="5551"/>
    <s v="P - PROGRAMAS"/>
    <x v="4"/>
    <s v="CALERA DE TANGO"/>
    <s v="REGIONAL"/>
    <x v="0"/>
    <s v="N/A"/>
    <s v="6 a 11 años, 11 meses y 29 días"/>
    <s v="M"/>
    <n v="151125"/>
    <n v="36270000"/>
    <n v="36270000"/>
    <n v="1"/>
    <n v="13"/>
    <x v="2"/>
    <n v="1131409"/>
    <s v="PER - RESIDENCIA RENUEVO"/>
    <n v="20"/>
    <n v="6"/>
    <n v="17"/>
    <s v="M"/>
    <s v="CALERA DE TANGO"/>
    <d v="2014-11-21T00:00:00"/>
    <s v="RU 30-06-2019"/>
    <n v="36270000"/>
  </r>
  <r>
    <x v="12"/>
    <n v="5552"/>
    <s v="R - CENTROS RESIDENCIALES"/>
    <x v="7"/>
    <s v="RECOLETA"/>
    <s v="REGIONAL"/>
    <x v="0"/>
    <s v="NO"/>
    <s v="12 a 17 años, 11 meses y 29 días"/>
    <s v="M"/>
    <n v="384150"/>
    <n v="92196000"/>
    <n v="92196000"/>
    <n v="1"/>
    <n v="13"/>
    <x v="3"/>
    <n v="1131225"/>
    <s v="RPM - SAN PEDRO ARMENGOL"/>
    <n v="20"/>
    <n v="6"/>
    <n v="18"/>
    <s v="M"/>
    <s v="RECOLETA"/>
    <d v="2012-12-06T00:00:00"/>
    <s v="RU 30-06-2019"/>
    <n v="92196000"/>
  </r>
  <r>
    <x v="12"/>
    <n v="5552"/>
    <s v="P - PROGRAMAS"/>
    <x v="4"/>
    <s v="RECOLETA"/>
    <s v="REGIONAL"/>
    <x v="0"/>
    <s v="N/A"/>
    <s v="12 a 17 años, 11 meses y 29 días"/>
    <s v="M"/>
    <n v="151125"/>
    <n v="36270000"/>
    <n v="36270000"/>
    <n v="1"/>
    <n v="13"/>
    <x v="9"/>
    <m/>
    <m/>
    <m/>
    <m/>
    <m/>
    <m/>
    <m/>
    <m/>
    <m/>
    <n v="36270000"/>
  </r>
  <r>
    <x v="12"/>
    <n v="5553"/>
    <s v="R - CENTROS RESIDENCIALES"/>
    <x v="7"/>
    <s v="SAN JOAQUÍN"/>
    <s v="REGIONAL"/>
    <x v="0"/>
    <s v="NO"/>
    <s v="12 a 17 años, 11 meses y 29 días"/>
    <s v="F"/>
    <n v="384150"/>
    <n v="92196000"/>
    <n v="92196000"/>
    <n v="1"/>
    <n v="13"/>
    <x v="0"/>
    <n v="1131286"/>
    <s v="REM - LAS AZUCENAS"/>
    <n v="20"/>
    <n v="6"/>
    <n v="18"/>
    <s v="F"/>
    <s v="SAN JOAQUÍN"/>
    <d v="2013-09-04T00:00:00"/>
    <s v="RU 30-06-2019"/>
    <n v="92196000"/>
  </r>
  <r>
    <x v="12"/>
    <n v="5553"/>
    <s v="P - PROGRAMAS"/>
    <x v="4"/>
    <s v="SAN JOAQUÍN"/>
    <s v="REGIONAL"/>
    <x v="0"/>
    <s v="N/A"/>
    <s v="12 a 17 años, 11 meses y 29 días"/>
    <s v="F"/>
    <n v="151125"/>
    <n v="36270000"/>
    <n v="36270000"/>
    <n v="1"/>
    <n v="13"/>
    <x v="2"/>
    <n v="1131287"/>
    <s v="PER - LAS AZUCENAS"/>
    <n v="16"/>
    <n v="6"/>
    <n v="18"/>
    <s v="F"/>
    <s v="SAN JOAQUÍN"/>
    <d v="2013-09-04T00:00:00"/>
    <s v="RU 30-06-2019"/>
    <n v="29016000"/>
  </r>
  <r>
    <x v="12"/>
    <n v="5554"/>
    <s v="R - CENTROS RESIDENCIALES"/>
    <x v="7"/>
    <s v="LA PINTANA"/>
    <s v="REGIONAL"/>
    <x v="7"/>
    <s v="NO"/>
    <s v="12 a 17 años, 11 meses y 29 días"/>
    <s v="F"/>
    <n v="373912.49999999994"/>
    <n v="179477999.99999997"/>
    <n v="179477999.99999997"/>
    <n v="1"/>
    <n v="13"/>
    <x v="0"/>
    <n v="1131061"/>
    <s v="REM - HOGAR ALDEA NAZARETH"/>
    <n v="40"/>
    <m/>
    <m/>
    <m/>
    <s v="LA PINTANA"/>
    <d v="2011-07-01T00:00:00"/>
    <s v="RU 30-06-2019"/>
    <n v="179477999.99999997"/>
  </r>
  <r>
    <x v="12"/>
    <n v="5554"/>
    <s v="P - PROGRAMAS"/>
    <x v="4"/>
    <s v="LA PINTANA"/>
    <s v="REGIONAL"/>
    <x v="7"/>
    <s v="N/A"/>
    <s v="12 a 17 años, 11 meses y 29 días"/>
    <s v="F"/>
    <n v="151125"/>
    <n v="72540000"/>
    <n v="72540000"/>
    <n v="1"/>
    <n v="13"/>
    <x v="2"/>
    <n v="1131062"/>
    <s v="PER - HOGAR ALDEA NAZARETH"/>
    <n v="21"/>
    <m/>
    <m/>
    <m/>
    <s v="LA PINTANA"/>
    <d v="2011-07-01T00:00:00"/>
    <s v="RU 30-06-2019"/>
    <n v="38083500"/>
  </r>
  <r>
    <x v="12"/>
    <n v="5555"/>
    <s v="R - CENTROS RESIDENCIALES"/>
    <x v="7"/>
    <s v="LA PINTANA"/>
    <s v="REGIONAL"/>
    <x v="7"/>
    <s v="NO"/>
    <s v="6 a 17 años, 11 meses y 29 días"/>
    <s v="F"/>
    <n v="373912.49999999994"/>
    <n v="179477999.99999997"/>
    <n v="179477999.99999997"/>
    <n v="1"/>
    <n v="13"/>
    <x v="0"/>
    <n v="1131312"/>
    <s v="REM - HOGAR DE NIÑAS LA GRANJA"/>
    <n v="74"/>
    <n v="6"/>
    <n v="17"/>
    <s v="F"/>
    <s v="LA PINTANA"/>
    <d v="2013-11-25T00:00:00"/>
    <s v="RU 30-06-2019"/>
    <n v="216450000"/>
  </r>
  <r>
    <x v="12"/>
    <n v="5555"/>
    <s v="P - PROGRAMAS"/>
    <x v="4"/>
    <s v="LA PINTANA"/>
    <s v="REGIONAL"/>
    <x v="7"/>
    <s v="N/A"/>
    <s v="6 a 17 años, 11 meses y 29 días"/>
    <s v="F"/>
    <n v="151125"/>
    <n v="72540000"/>
    <n v="72540000"/>
    <n v="1"/>
    <n v="13"/>
    <x v="2"/>
    <n v="1131313"/>
    <s v="PER - HOGAR DE NIÑAS LA GRANJA"/>
    <n v="37"/>
    <n v="6"/>
    <n v="17"/>
    <s v="F"/>
    <s v="LA PINTANA"/>
    <d v="2013-11-25T00:00:00"/>
    <s v="RU 30-06-2019"/>
    <n v="67099500"/>
  </r>
  <r>
    <x v="12"/>
    <n v="5556"/>
    <s v="R - CENTROS RESIDENCIALES"/>
    <x v="7"/>
    <s v="LA PINTANA"/>
    <s v="REGIONAL"/>
    <x v="3"/>
    <s v="NO"/>
    <s v="12 a 17 años, 11 meses y 29 días"/>
    <s v="M"/>
    <n v="373912.49999999994"/>
    <n v="134608499.99999997"/>
    <n v="134608499.99999997"/>
    <n v="1"/>
    <n v="13"/>
    <x v="0"/>
    <n v="1131466"/>
    <s v="REM - RESIDENCIA ALDEA BUEN CAMINO"/>
    <n v="30"/>
    <n v="6"/>
    <n v="17"/>
    <s v="M"/>
    <s v="LA PINTANA"/>
    <d v="2015-10-01T00:00:00"/>
    <s v="RU 30-06-2019"/>
    <n v="134608499.99999997"/>
  </r>
  <r>
    <x v="12"/>
    <n v="5556"/>
    <s v="P - PROGRAMAS"/>
    <x v="4"/>
    <s v="LA PINTANA"/>
    <s v="REGIONAL"/>
    <x v="3"/>
    <s v="N/A"/>
    <s v="12 a 17 años, 11 meses y 29 días"/>
    <s v="M"/>
    <n v="151125"/>
    <n v="54405000"/>
    <n v="54405000"/>
    <n v="1"/>
    <n v="13"/>
    <x v="2"/>
    <n v="1131467"/>
    <s v="PER - RESIDENCIA ALDEA BUEN CAMINO"/>
    <n v="16"/>
    <n v="6"/>
    <n v="17"/>
    <s v="M"/>
    <s v="LA PINTANA"/>
    <d v="2015-10-01T00:00:00"/>
    <s v="RU 30-06-2019"/>
    <n v="29016000"/>
  </r>
  <r>
    <x v="12"/>
    <n v="5557"/>
    <s v="R - CENTROS RESIDENCIALES"/>
    <x v="7"/>
    <s v="MACUL"/>
    <s v="REGIONAL"/>
    <x v="17"/>
    <s v="NO"/>
    <s v="6 a 17 años, 11 meses y 29 días"/>
    <s v="A"/>
    <n v="258375"/>
    <n v="186030000"/>
    <n v="186030000"/>
    <n v="1"/>
    <n v="13"/>
    <x v="0"/>
    <n v="1131468"/>
    <s v="REM - ALDEA INFANTIL SOS MADRESELVA"/>
    <n v="60"/>
    <n v="6"/>
    <n v="17"/>
    <s v="A"/>
    <s v="MACUL"/>
    <d v="2015-10-01T00:00:00"/>
    <s v="RU 30-06-2019"/>
    <n v="186030000"/>
  </r>
  <r>
    <x v="12"/>
    <n v="5557"/>
    <s v="P - PROGRAMAS"/>
    <x v="4"/>
    <s v="MACUL"/>
    <s v="REGIONAL"/>
    <x v="17"/>
    <s v="N/A"/>
    <s v="6 a 17 años, 11 meses y 29 días"/>
    <s v="A"/>
    <n v="151125"/>
    <n v="108810000"/>
    <n v="108810000"/>
    <n v="1"/>
    <n v="13"/>
    <x v="2"/>
    <n v="1131469"/>
    <s v="PER - ALDEA INFANTIL SOS MADRESELVA"/>
    <n v="30"/>
    <n v="6"/>
    <n v="17"/>
    <s v="A"/>
    <s v="MACUL"/>
    <d v="2015-10-01T00:00:00"/>
    <s v="RU 30-06-2019"/>
    <n v="54405000"/>
  </r>
  <r>
    <x v="12"/>
    <m/>
    <m/>
    <x v="9"/>
    <m/>
    <m/>
    <x v="10"/>
    <m/>
    <m/>
    <m/>
    <m/>
    <m/>
    <m/>
    <m/>
    <m/>
    <x v="10"/>
    <m/>
    <m/>
    <m/>
    <m/>
    <m/>
    <m/>
    <m/>
    <m/>
    <m/>
    <n v="54405000"/>
  </r>
  <r>
    <x v="12"/>
    <m/>
    <m/>
    <x v="9"/>
    <m/>
    <m/>
    <x v="10"/>
    <m/>
    <m/>
    <m/>
    <m/>
    <m/>
    <m/>
    <m/>
    <n v="13"/>
    <x v="3"/>
    <n v="1131212"/>
    <s v="RPM - RESIDENCIA PARA MAYORES ÑUÑOA"/>
    <n v="26"/>
    <n v="6"/>
    <n v="18"/>
    <s v="A"/>
    <s v="ÑUÑOA"/>
    <d v="2012-10-26T00:00:00"/>
    <s v="RU 30-06-2019"/>
    <n v="118257750"/>
  </r>
  <r>
    <x v="12"/>
    <n v="5558"/>
    <s v="R - CENTROS RESIDENCIALES"/>
    <x v="8"/>
    <s v="QUINTA NORMAL"/>
    <s v="REGIONAL"/>
    <x v="18"/>
    <s v="NO"/>
    <s v="3 a 5 años, 11 meses y 29 días"/>
    <s v="A"/>
    <n v="537712.5"/>
    <n v="122598450"/>
    <n v="122598450"/>
    <n v="1"/>
    <n v="13"/>
    <x v="5"/>
    <n v="1131470"/>
    <s v="RLP - HOGAR CASA SANTA CATALINA"/>
    <n v="19"/>
    <n v="3"/>
    <n v="5"/>
    <s v="A"/>
    <s v="QUINTA NORMAL"/>
    <d v="2015-10-01T00:00:00"/>
    <s v="RU 30-06-2019"/>
    <n v="122598450"/>
  </r>
  <r>
    <x v="12"/>
    <n v="5558"/>
    <s v="P - PROGRAMAS"/>
    <x v="4"/>
    <s v="QUINTA NORMAL"/>
    <s v="REGIONAL"/>
    <x v="18"/>
    <s v="N/A"/>
    <s v="3 a 5 años, 11 meses y 29 días"/>
    <s v="A"/>
    <n v="151125"/>
    <n v="34456500"/>
    <n v="34456500"/>
    <n v="1"/>
    <n v="13"/>
    <x v="2"/>
    <n v="1131471"/>
    <s v="PER - HOGAR CASA SANTA CATALINA"/>
    <n v="19"/>
    <n v="3"/>
    <n v="5"/>
    <s v="A"/>
    <s v="QUINTA NORMAL"/>
    <d v="2015-10-01T00:00:00"/>
    <s v="RU 30-06-2019"/>
    <n v="34456500"/>
  </r>
  <r>
    <x v="12"/>
    <n v="5559"/>
    <s v="R - CENTROS RESIDENCIALES"/>
    <x v="0"/>
    <s v="SANTIAGO"/>
    <s v="REGIONAL"/>
    <x v="2"/>
    <s v="NO"/>
    <s v="12 a 17 años, 11 meses y 29 días"/>
    <s v="M"/>
    <n v="460931.25000000006"/>
    <n v="66374100.000000015"/>
    <n v="66374100.000000015"/>
    <n v="1"/>
    <s v="META PRESUPUESTARIA 2019"/>
    <x v="1"/>
    <m/>
    <m/>
    <m/>
    <m/>
    <m/>
    <m/>
    <m/>
    <m/>
    <m/>
    <n v="66374100"/>
  </r>
  <r>
    <x v="12"/>
    <n v="5559"/>
    <s v="P - PROGRAMAS"/>
    <x v="1"/>
    <s v="SANTIAGO"/>
    <s v="REGIONAL"/>
    <x v="2"/>
    <s v="N/A"/>
    <s v="12 a 17 años, 11 meses y 29 días"/>
    <s v="M"/>
    <n v="151125"/>
    <n v="21762000"/>
    <n v="21762000"/>
    <n v="1"/>
    <m/>
    <x v="1"/>
    <m/>
    <m/>
    <m/>
    <m/>
    <m/>
    <m/>
    <m/>
    <m/>
    <m/>
    <n v="21762000"/>
  </r>
  <r>
    <x v="12"/>
    <n v="5559"/>
    <s v="P - PROGRAMAS"/>
    <x v="2"/>
    <s v="SANTIAGO"/>
    <s v="REGIONAL"/>
    <x v="2"/>
    <s v="N/A"/>
    <s v="12 a 17 años, 11 meses y 29 días"/>
    <s v="M"/>
    <n v="151125"/>
    <n v="21762000"/>
    <n v="21762000"/>
    <n v="1"/>
    <m/>
    <x v="1"/>
    <m/>
    <m/>
    <m/>
    <m/>
    <m/>
    <m/>
    <m/>
    <m/>
    <m/>
    <n v="21762000"/>
  </r>
  <r>
    <x v="12"/>
    <n v="5560"/>
    <s v="R - CENTROS RESIDENCIALES"/>
    <x v="10"/>
    <s v="PEÑAFLOR"/>
    <s v="REGIONAL"/>
    <x v="7"/>
    <s v="NO"/>
    <s v="12 a 17 años, 11 meses y 29 días"/>
    <s v="M"/>
    <n v="373912.49999999994"/>
    <n v="179477999.99999997"/>
    <n v="179477999.99999997"/>
    <n v="1"/>
    <n v="13"/>
    <x v="3"/>
    <n v="1131057"/>
    <s v="RPM - HOGAR ALDEA MIS AMIGOS"/>
    <n v="90"/>
    <n v="6"/>
    <n v="17"/>
    <s v="A"/>
    <s v="PEÑAFLOR"/>
    <d v="2011-07-01T00:00:00"/>
    <s v="RU 30-06-2019"/>
    <n v="263250000"/>
  </r>
  <r>
    <x v="12"/>
    <n v="5560"/>
    <s v="R - CENTROS RESIDENCIALES"/>
    <x v="8"/>
    <s v="SANTIAGO"/>
    <s v="REGIONAL"/>
    <x v="2"/>
    <s v="NO"/>
    <s v="3 a 5 años, 11 meses y 29 días"/>
    <s v="A"/>
    <n v="537712.5"/>
    <n v="77430600"/>
    <n v="77430600"/>
    <n v="1"/>
    <n v="13"/>
    <x v="5"/>
    <n v="1131994"/>
    <s v="RLP - PREESCOLARES PLEYÁDES"/>
    <n v="25"/>
    <m/>
    <m/>
    <s v="A"/>
    <s v="SANTIAGO"/>
    <d v="2017-04-17T00:00:00"/>
    <s v="RU 30-06-2019"/>
    <n v="158242500"/>
  </r>
  <r>
    <x v="12"/>
    <n v="5560"/>
    <s v="P - PROGRAMAS"/>
    <x v="4"/>
    <s v="SANTIAGO"/>
    <s v="REGIONAL"/>
    <x v="2"/>
    <s v="N/A"/>
    <s v="3 a 5 años, 11 meses y 29 días"/>
    <s v="A"/>
    <n v="151125"/>
    <n v="21762000"/>
    <n v="21762000"/>
    <n v="1"/>
    <n v="13"/>
    <x v="2"/>
    <n v="1131995"/>
    <s v="PER - PREESCOLARES PLEYÁDES"/>
    <n v="25"/>
    <m/>
    <m/>
    <s v="A"/>
    <s v="SANTIAGO"/>
    <d v="2017-04-17T00:00:00"/>
    <s v="RU 30-06-2019"/>
    <n v="45337500"/>
  </r>
  <r>
    <x v="12"/>
    <n v="5561"/>
    <s v="R - CENTROS RESIDENCIALES"/>
    <x v="11"/>
    <s v="ÑUÑOA"/>
    <s v="REGIONAL"/>
    <x v="0"/>
    <s v="NO"/>
    <s v="0 a 2 años, 11 meses y 29 días"/>
    <s v="A"/>
    <n v="537712.5"/>
    <n v="129051000"/>
    <n v="129051000"/>
    <n v="1"/>
    <n v="13"/>
    <x v="6"/>
    <n v="1130534"/>
    <s v="CLA - CTA CASA SOFIA"/>
    <n v="20"/>
    <m/>
    <m/>
    <s v="A"/>
    <s v="ÑUÑOA"/>
    <d v="2013-12-01T00:00:00"/>
    <s v="RU 30-06-2019"/>
    <n v="145431000"/>
  </r>
  <r>
    <x v="12"/>
    <n v="5561"/>
    <s v="P - PROGRAMAS"/>
    <x v="4"/>
    <s v="ÑUÑOA"/>
    <s v="REGIONAL"/>
    <x v="0"/>
    <s v="N/A"/>
    <s v="0 a 2 años, 11 meses y 29 días"/>
    <s v="A"/>
    <n v="151125"/>
    <n v="36270000"/>
    <n v="36270000"/>
    <n v="1"/>
    <m/>
    <x v="1"/>
    <m/>
    <m/>
    <m/>
    <m/>
    <m/>
    <m/>
    <m/>
    <m/>
    <m/>
    <m/>
  </r>
  <r>
    <x v="12"/>
    <n v="5562"/>
    <s v="R - CENTROS RESIDENCIALES"/>
    <x v="11"/>
    <s v="ÑUÑOA"/>
    <s v="REGIONAL"/>
    <x v="0"/>
    <s v="NO"/>
    <s v="3 a 5 años, 11 meses y 29 días"/>
    <s v="A"/>
    <n v="537712.5"/>
    <n v="129051000"/>
    <n v="129051000"/>
    <n v="1"/>
    <n v="13"/>
    <x v="6"/>
    <n v="1130546"/>
    <s v="CLA - CTD ANDALUE"/>
    <n v="20"/>
    <m/>
    <m/>
    <s v="A"/>
    <s v="ÑUÑOA"/>
    <d v="2013-12-01T00:00:00"/>
    <s v="RU 30-06-2019"/>
    <n v="145431000"/>
  </r>
  <r>
    <x v="12"/>
    <n v="5562"/>
    <s v="P - PROGRAMAS"/>
    <x v="4"/>
    <s v="ÑUÑOA"/>
    <s v="REGIONAL"/>
    <x v="0"/>
    <s v="N/A"/>
    <s v="3 a 5 años, 11 meses y 29 días"/>
    <s v="A"/>
    <n v="151125"/>
    <n v="36270000"/>
    <n v="36270000"/>
    <n v="1"/>
    <m/>
    <x v="1"/>
    <m/>
    <m/>
    <m/>
    <m/>
    <m/>
    <m/>
    <m/>
    <m/>
    <m/>
    <m/>
  </r>
  <r>
    <x v="12"/>
    <n v="5563"/>
    <s v="R - CENTROS RESIDENCIALES"/>
    <x v="7"/>
    <s v="SANTIAGO"/>
    <s v="REGIONAL"/>
    <x v="0"/>
    <s v="NO"/>
    <s v="12 a 17 años, 11 meses y 29 días"/>
    <s v="A"/>
    <n v="384150"/>
    <n v="92196000"/>
    <n v="92196000"/>
    <n v="1"/>
    <m/>
    <x v="11"/>
    <m/>
    <m/>
    <m/>
    <m/>
    <m/>
    <m/>
    <m/>
    <m/>
    <m/>
    <m/>
  </r>
  <r>
    <x v="12"/>
    <n v="5563"/>
    <s v="P - PROGRAMAS"/>
    <x v="4"/>
    <s v="SANTIAGO"/>
    <s v="REGIONAL"/>
    <x v="0"/>
    <s v="N/A"/>
    <s v="12 a 17 años, 11 meses y 29 días"/>
    <s v="A"/>
    <n v="151125"/>
    <n v="36270000"/>
    <n v="36270000"/>
    <n v="1"/>
    <m/>
    <x v="1"/>
    <m/>
    <m/>
    <m/>
    <m/>
    <m/>
    <m/>
    <m/>
    <m/>
    <m/>
    <m/>
  </r>
  <r>
    <x v="13"/>
    <n v="5564"/>
    <s v="R - CENTROS RESIDENCIALES"/>
    <x v="7"/>
    <s v="MÁFIL"/>
    <s v="REGIONAL"/>
    <x v="0"/>
    <s v="NO"/>
    <s v="6 a 17 años, 11 meses y 29 días"/>
    <s v="M"/>
    <n v="418275.00000000006"/>
    <n v="100386000.00000001"/>
    <n v="100386000.00000001"/>
    <n v="1"/>
    <n v="14"/>
    <x v="0"/>
    <n v="1140032"/>
    <s v="REM - RESIDENCIA AHORA"/>
    <n v="26"/>
    <n v="6"/>
    <n v="17"/>
    <s v="M"/>
    <s v="MÁFIL"/>
    <d v="2011-07-01T00:00:00"/>
    <s v="RU 30-06-2019"/>
    <n v="127307700"/>
  </r>
  <r>
    <x v="13"/>
    <n v="5564"/>
    <s v="P - PROGRAMAS"/>
    <x v="4"/>
    <s v="MÁFIL"/>
    <s v="REGIONAL"/>
    <x v="0"/>
    <s v="N/A"/>
    <s v="6 a 17 años, 11 meses y 29 días"/>
    <s v="M"/>
    <n v="172282.5"/>
    <n v="41347800"/>
    <n v="41347800"/>
    <n v="1"/>
    <n v="14"/>
    <x v="2"/>
    <n v="1140031"/>
    <s v="PER - RESIDENCIA AHORA"/>
    <n v="13"/>
    <n v="6"/>
    <n v="17"/>
    <s v="A"/>
    <s v="MÁFIL"/>
    <d v="2011-07-01T00:00:00"/>
    <s v="RU 30-06-2019"/>
    <n v="26876070"/>
  </r>
  <r>
    <x v="13"/>
    <n v="5565"/>
    <s v="R - CENTROS RESIDENCIALES"/>
    <x v="7"/>
    <s v="VALDIVIA"/>
    <s v="REGIONAL"/>
    <x v="0"/>
    <s v="NO"/>
    <s v="6 a 17 años, 11 meses y 29 días"/>
    <s v="M"/>
    <n v="418275.00000000006"/>
    <n v="100386000.00000001"/>
    <n v="100386000.00000001"/>
    <n v="1"/>
    <n v="14"/>
    <x v="0"/>
    <n v="1140036"/>
    <s v="REM - RESIDENCIA DE PROTECCION HOGAR VALDIVIA"/>
    <n v="30"/>
    <n v="6"/>
    <n v="17"/>
    <s v="M"/>
    <s v="VALDIVIA"/>
    <d v="2011-07-01T00:00:00"/>
    <s v="RU 30-06-2019"/>
    <n v="146893500.00000003"/>
  </r>
  <r>
    <x v="13"/>
    <n v="5565"/>
    <s v="P - PROGRAMAS"/>
    <x v="4"/>
    <s v="VALDIVIA"/>
    <s v="REGIONAL"/>
    <x v="0"/>
    <s v="N/A"/>
    <s v="6 a 17 años, 11 meses y 29 días"/>
    <s v="M"/>
    <n v="172282.5"/>
    <n v="41347800"/>
    <n v="41347800"/>
    <n v="1"/>
    <n v="14"/>
    <x v="2"/>
    <n v="1140035"/>
    <s v="PER - RESIDENCIA DE PROTECCION HOGAR VALDIVIA"/>
    <n v="28"/>
    <n v="6"/>
    <n v="17"/>
    <s v="M"/>
    <s v="VALDIVIA"/>
    <d v="2011-07-01T00:00:00"/>
    <s v="RU 30-06-2019"/>
    <n v="57886920"/>
  </r>
  <r>
    <x v="13"/>
    <n v="5566"/>
    <s v="R - CENTROS RESIDENCIALES"/>
    <x v="8"/>
    <s v="VALDIVIA O PAILLACO O LA UNIÓN"/>
    <s v="REGIONAL "/>
    <x v="0"/>
    <s v="NO"/>
    <s v="0 a 5 años, 11 meses y 29 días"/>
    <s v="A"/>
    <n v="571837.5"/>
    <n v="137241000"/>
    <n v="137241000"/>
    <n v="1"/>
    <n v="14"/>
    <x v="11"/>
    <m/>
    <m/>
    <m/>
    <m/>
    <m/>
    <m/>
    <m/>
    <m/>
    <m/>
    <m/>
  </r>
  <r>
    <x v="13"/>
    <n v="5566"/>
    <s v="P - PROGRAMAS"/>
    <x v="4"/>
    <s v="VALDIVIA O PAILLACO O LA UNIÓN"/>
    <s v="REGIONAL "/>
    <x v="0"/>
    <s v="N/A"/>
    <s v="0 a 5 años, 11 meses y 29 días"/>
    <s v="A"/>
    <n v="172282.5"/>
    <n v="41347800"/>
    <n v="41347800"/>
    <n v="1"/>
    <n v="14"/>
    <x v="1"/>
    <m/>
    <m/>
    <m/>
    <m/>
    <m/>
    <m/>
    <m/>
    <m/>
    <m/>
    <m/>
  </r>
  <r>
    <x v="13"/>
    <n v="5567"/>
    <s v="R - CENTROS RESIDENCIALES"/>
    <x v="0"/>
    <s v="VALDIVIA"/>
    <s v="REGIONAL"/>
    <x v="0"/>
    <s v="NO"/>
    <s v="12 a 17 años, 11 meses y 29 días"/>
    <s v="F"/>
    <n v="495056.25"/>
    <n v="118813500"/>
    <n v="118813500"/>
    <n v="1"/>
    <n v="14"/>
    <x v="4"/>
    <n v="1140056"/>
    <s v="RSP - VILLA HUIDIF"/>
    <n v="20"/>
    <n v="12"/>
    <n v="18"/>
    <s v="F"/>
    <s v="VALDIVIA"/>
    <d v="2013-07-02T00:00:00"/>
    <d v="2019-07-03T00:00:00"/>
    <n v="118813500"/>
  </r>
  <r>
    <x v="13"/>
    <n v="5567"/>
    <s v="P - PROGRAMAS"/>
    <x v="1"/>
    <s v="VALDIVIA"/>
    <s v="REGIONAL"/>
    <x v="0"/>
    <s v="N/A"/>
    <s v="12 a 17 años, 11 meses y 29 días"/>
    <s v="F"/>
    <n v="172282.5"/>
    <n v="41347800"/>
    <n v="41347800"/>
    <n v="1"/>
    <n v="14"/>
    <x v="2"/>
    <n v="1140057"/>
    <s v="PER - VILLA HUIDIF"/>
    <n v="20"/>
    <n v="12"/>
    <n v="18"/>
    <s v="F"/>
    <s v="VALDIVIA"/>
    <d v="2013-07-02T00:00:00"/>
    <d v="2019-07-03T00:00:00"/>
    <n v="41347800"/>
  </r>
  <r>
    <x v="13"/>
    <n v="5567"/>
    <s v="P - PROGRAMAS"/>
    <x v="2"/>
    <s v="VALDIVIA"/>
    <s v="REGIONAL"/>
    <x v="0"/>
    <s v="N/A"/>
    <s v="12 a 17 años, 11 meses y 29 días"/>
    <s v="F"/>
    <n v="172282.5"/>
    <n v="41347800"/>
    <n v="41347800"/>
    <n v="1"/>
    <m/>
    <x v="11"/>
    <m/>
    <m/>
    <m/>
    <m/>
    <m/>
    <m/>
    <m/>
    <m/>
    <m/>
    <m/>
  </r>
  <r>
    <x v="14"/>
    <n v="5568"/>
    <s v="R - CENTROS RESIDENCIALES"/>
    <x v="7"/>
    <s v="ARICA"/>
    <s v="REGIONAL"/>
    <x v="0"/>
    <s v="NO"/>
    <s v="6 a 11 años, 11 meses y 29 días"/>
    <s v="A"/>
    <n v="452400.00000000006"/>
    <n v="108576000.00000003"/>
    <n v="108576000.00000003"/>
    <n v="1"/>
    <n v="15"/>
    <x v="3"/>
    <n v="1150028"/>
    <s v="RPM - ALWA"/>
    <n v="40"/>
    <m/>
    <m/>
    <m/>
    <s v="ARICA"/>
    <d v="2012-05-11T00:00:00"/>
    <s v="CERRADA"/>
    <n v="214695000"/>
  </r>
  <r>
    <x v="14"/>
    <n v="5568"/>
    <s v="P - PROGRAMAS"/>
    <x v="4"/>
    <s v="ARICA"/>
    <s v="REGIONAL"/>
    <x v="0"/>
    <s v="N/A"/>
    <s v="6 a 11 años, 11 meses y 29 días"/>
    <s v="A"/>
    <n v="193440.00000000003"/>
    <n v="46425600.000000007"/>
    <n v="46425600.000000007"/>
    <n v="1"/>
    <m/>
    <x v="1"/>
    <m/>
    <m/>
    <m/>
    <m/>
    <m/>
    <m/>
    <m/>
    <m/>
    <m/>
    <m/>
  </r>
  <r>
    <x v="14"/>
    <n v="5569"/>
    <s v="R - CENTROS RESIDENCIALES"/>
    <x v="8"/>
    <s v="ARICA"/>
    <s v="REGIONAL"/>
    <x v="3"/>
    <s v="NO"/>
    <s v="0 a 5 años, 11 meses y 29 días"/>
    <s v="A"/>
    <n v="595725"/>
    <n v="214461000"/>
    <n v="214461000"/>
    <n v="1"/>
    <n v="15"/>
    <x v="5"/>
    <n v="1150073"/>
    <s v="RLP - RESIDENCIA NIDO AMIGO DE ARICA"/>
    <n v="30"/>
    <n v="0"/>
    <n v="6"/>
    <s v="A"/>
    <s v="ARICA"/>
    <d v="2017-04-03T00:00:00"/>
    <s v="RU 30-06-2019"/>
    <n v="214461000"/>
  </r>
  <r>
    <x v="14"/>
    <n v="5569"/>
    <s v="P - PROGRAMAS"/>
    <x v="4"/>
    <s v="ARICA"/>
    <s v="REGIONAL"/>
    <x v="3"/>
    <s v="N/A"/>
    <s v="0 a 5 años, 11 meses y 29 días"/>
    <s v="A"/>
    <n v="193440.00000000003"/>
    <n v="69638400.000000015"/>
    <n v="69638400.000000015"/>
    <n v="1"/>
    <n v="15"/>
    <x v="2"/>
    <n v="1150074"/>
    <s v="PER - RESIDENCIA NIDO AMIGO DE ARICA"/>
    <n v="30"/>
    <n v="0"/>
    <n v="6"/>
    <s v="A"/>
    <s v="ARICA"/>
    <d v="2017-04-03T00:00:00"/>
    <s v="RU 30-06-2019"/>
    <n v="69638400.000000015"/>
  </r>
  <r>
    <x v="15"/>
    <n v="5570"/>
    <s v="R - CENTROS RESIDENCIALES"/>
    <x v="0"/>
    <s v="CHILLÁN"/>
    <s v="REGIONAL"/>
    <x v="0"/>
    <s v="NO"/>
    <s v="12 a 17 años, 11 meses y 29 días"/>
    <s v="A"/>
    <n v="418275.00000000006"/>
    <n v="100386000.00000001"/>
    <n v="100386000.00000001"/>
    <n v="1"/>
    <n v="16"/>
    <x v="3"/>
    <n v="1080537"/>
    <s v="RPM - HOGAR TERESA TODA"/>
    <n v="31"/>
    <m/>
    <m/>
    <m/>
    <s v="CHILLÁN VIEJO"/>
    <m/>
    <s v="CERRADA"/>
    <n v="153694125"/>
  </r>
  <r>
    <x v="15"/>
    <n v="5570"/>
    <s v="P - PROGRAMAS"/>
    <x v="1"/>
    <s v="CHILLÁN"/>
    <s v="REGIONAL"/>
    <x v="0"/>
    <s v="N/A"/>
    <s v="12 a 17 años, 11 meses y 29 días"/>
    <s v="A"/>
    <n v="172282.5"/>
    <n v="41347800"/>
    <n v="41347800"/>
    <n v="1"/>
    <n v="16"/>
    <x v="0"/>
    <n v="1080586"/>
    <s v="REM - RESIDENCIA HORIZONTES"/>
    <n v="25"/>
    <m/>
    <m/>
    <m/>
    <s v="SAN CARLOS"/>
    <m/>
    <s v="CERRADA"/>
    <n v="122411250"/>
  </r>
  <r>
    <x v="15"/>
    <n v="5570"/>
    <s v="P - PROGRAMAS"/>
    <x v="2"/>
    <s v="CHILLÁN"/>
    <s v="REGIONAL"/>
    <x v="0"/>
    <s v="N/A"/>
    <s v="12 a 17 años, 11 meses y 29 días"/>
    <s v="A"/>
    <n v="172282.5"/>
    <n v="41347800"/>
    <n v="41347800"/>
    <n v="1"/>
    <n v="16"/>
    <x v="2"/>
    <n v="1080848"/>
    <s v="PER - HORIZONTE"/>
    <n v="25"/>
    <m/>
    <m/>
    <m/>
    <s v="SAN CARLOS"/>
    <m/>
    <s v="CERRADA"/>
    <n v="516847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N21" firstHeaderRow="1" firstDataRow="2" firstDataCol="1"/>
  <pivotFields count="26"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showAll="0"/>
    <pivotField axis="axisCol" showAll="0">
      <items count="13">
        <item x="4"/>
        <item x="2"/>
        <item x="6"/>
        <item x="1"/>
        <item x="7"/>
        <item x="3"/>
        <item x="8"/>
        <item x="11"/>
        <item x="0"/>
        <item x="10"/>
        <item x="5"/>
        <item x="9"/>
        <item t="default"/>
      </items>
    </pivotField>
    <pivotField showAll="0"/>
    <pivotField showAll="0"/>
    <pivotField showAll="0">
      <items count="20">
        <item x="13"/>
        <item x="2"/>
        <item x="5"/>
        <item x="16"/>
        <item x="14"/>
        <item x="18"/>
        <item x="0"/>
        <item x="6"/>
        <item x="8"/>
        <item x="9"/>
        <item x="4"/>
        <item x="12"/>
        <item x="1"/>
        <item x="3"/>
        <item x="15"/>
        <item x="11"/>
        <item x="7"/>
        <item x="17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3">
        <item x="6"/>
        <item x="10"/>
        <item x="9"/>
        <item x="2"/>
        <item x="11"/>
        <item x="0"/>
        <item x="5"/>
        <item x="8"/>
        <item x="3"/>
        <item x="7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3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a de MONTO ANUAL                              ($)" fld="25" baseField="0" baseItem="5"/>
  </dataFields>
  <formats count="18">
    <format dxfId="36">
      <pivotArea type="all" dataOnly="0" outline="0" fieldPosition="0"/>
    </format>
    <format dxfId="35">
      <pivotArea outline="0" collapsedLevelsAreSubtotals="1" fieldPosition="0"/>
    </format>
    <format dxfId="34">
      <pivotArea type="origin" dataOnly="0" labelOnly="1" outline="0" fieldPosition="0"/>
    </format>
    <format dxfId="33">
      <pivotArea field="3" type="button" dataOnly="0" labelOnly="1" outline="0" axis="axisCol" fieldPosition="0"/>
    </format>
    <format dxfId="32">
      <pivotArea field="-2" type="button" dataOnly="0" labelOnly="1" outline="0" axis="axisValues" fieldPosition="0"/>
    </format>
    <format dxfId="31">
      <pivotArea type="topRight" dataOnly="0" labelOnly="1" outline="0" fieldPosition="0"/>
    </format>
    <format dxfId="30">
      <pivotArea field="0" type="button" dataOnly="0" labelOnly="1" outline="0" axis="axisRow" fieldPosition="0"/>
    </format>
    <format dxfId="29">
      <pivotArea dataOnly="0" labelOnly="1" fieldPosition="0">
        <references count="1">
          <reference field="0" count="0"/>
        </references>
      </pivotArea>
    </format>
    <format dxfId="28">
      <pivotArea dataOnly="0" labelOnly="1" grandRow="1" outline="0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type="origin" dataOnly="0" labelOnly="1" outline="0" fieldPosition="0"/>
    </format>
    <format dxfId="24">
      <pivotArea field="3" type="button" dataOnly="0" labelOnly="1" outline="0" axis="axisCol" fieldPosition="0"/>
    </format>
    <format dxfId="23">
      <pivotArea field="-2" type="button" dataOnly="0" labelOnly="1" outline="0" axis="axisValues" fieldPosition="0"/>
    </format>
    <format dxfId="22">
      <pivotArea type="topRight" dataOnly="0" labelOnly="1" outline="0" fieldPosition="0"/>
    </format>
    <format dxfId="21">
      <pivotArea field="0" type="button" dataOnly="0" labelOnly="1" outline="0" axis="axisRow" fieldPosition="0"/>
    </format>
    <format dxfId="20">
      <pivotArea dataOnly="0" labelOnly="1" fieldPosition="0">
        <references count="1">
          <reference field="0" count="0"/>
        </references>
      </pivotArea>
    </format>
    <format dxfId="1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N21" firstHeaderRow="1" firstDataRow="2" firstDataCol="1"/>
  <pivotFields count="26"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showAll="0"/>
    <pivotField axis="axisCol" showAll="0">
      <items count="13">
        <item x="4"/>
        <item x="2"/>
        <item x="6"/>
        <item x="1"/>
        <item x="7"/>
        <item x="3"/>
        <item x="8"/>
        <item x="11"/>
        <item x="0"/>
        <item x="10"/>
        <item x="5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3">
        <item x="6"/>
        <item x="10"/>
        <item x="9"/>
        <item x="2"/>
        <item x="11"/>
        <item x="0"/>
        <item x="5"/>
        <item x="8"/>
        <item x="3"/>
        <item x="7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3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a de MONTO ANUAL                              ($)" fld="25" baseField="0" baseItem="8"/>
  </dataFields>
  <formats count="19">
    <format dxfId="18">
      <pivotArea type="all" dataOnly="0" outline="0" fieldPosition="0"/>
    </format>
    <format dxfId="17">
      <pivotArea outline="0" collapsedLevelsAreSubtotals="1" fieldPosition="0"/>
    </format>
    <format dxfId="16">
      <pivotArea type="origin" dataOnly="0" labelOnly="1" outline="0" fieldPosition="0"/>
    </format>
    <format dxfId="15">
      <pivotArea field="3" type="button" dataOnly="0" labelOnly="1" outline="0" axis="axisCol" fieldPosition="0"/>
    </format>
    <format dxfId="14">
      <pivotArea field="-2" type="button" dataOnly="0" labelOnly="1" outline="0" axis="axisValues" fieldPosition="0"/>
    </format>
    <format dxfId="13">
      <pivotArea type="topRight" dataOnly="0" labelOnly="1" outline="0" fieldPosition="0"/>
    </format>
    <format dxfId="12">
      <pivotArea field="0" type="button" dataOnly="0" labelOnly="1" outline="0" axis="axisRow" fieldPosition="0"/>
    </format>
    <format dxfId="11">
      <pivotArea dataOnly="0" labelOnly="1" fieldPosition="0">
        <references count="1">
          <reference field="0" count="0"/>
        </references>
      </pivotArea>
    </format>
    <format dxfId="10">
      <pivotArea dataOnly="0" labelOnly="1" grandRow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3" type="button" dataOnly="0" labelOnly="1" outline="0" axis="axisCol" fieldPosition="0"/>
    </format>
    <format dxfId="5">
      <pivotArea field="-2" type="button" dataOnly="0" labelOnly="1" outline="0" axis="axisValues" fieldPosition="0"/>
    </format>
    <format dxfId="4">
      <pivotArea type="topRight" dataOnly="0" labelOnly="1" outline="0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tabSelected="1" topLeftCell="A16" zoomScale="75" zoomScaleNormal="75" workbookViewId="0">
      <selection activeCell="K139" sqref="K139"/>
    </sheetView>
  </sheetViews>
  <sheetFormatPr baseColWidth="10" defaultColWidth="11.5703125" defaultRowHeight="15" x14ac:dyDescent="0.25"/>
  <cols>
    <col min="1" max="1" width="7.85546875" style="207" customWidth="1"/>
    <col min="2" max="2" width="12.42578125" style="79" customWidth="1"/>
    <col min="3" max="3" width="22.42578125" style="207" bestFit="1" customWidth="1"/>
    <col min="4" max="4" width="13.42578125" style="207" customWidth="1"/>
    <col min="5" max="5" width="16.42578125" style="207" customWidth="1"/>
    <col min="6" max="6" width="14.28515625" style="207" customWidth="1"/>
    <col min="7" max="7" width="10.140625" style="207" customWidth="1"/>
    <col min="8" max="8" width="8.5703125" style="207" customWidth="1"/>
    <col min="9" max="9" width="25.85546875" style="207" customWidth="1"/>
    <col min="10" max="10" width="11.140625" style="207" customWidth="1"/>
    <col min="11" max="11" width="13.7109375" style="207" customWidth="1"/>
    <col min="12" max="12" width="19.140625" style="207" customWidth="1"/>
    <col min="13" max="13" width="21.42578125" style="165" customWidth="1"/>
    <col min="14" max="14" width="14" style="165" customWidth="1"/>
    <col min="15" max="15" width="20.42578125" style="207" customWidth="1"/>
    <col min="16" max="16384" width="11.5703125" style="207"/>
  </cols>
  <sheetData>
    <row r="1" spans="1:14" ht="23.25" customHeight="1" x14ac:dyDescent="0.25"/>
    <row r="2" spans="1:14" ht="30.75" customHeight="1" x14ac:dyDescent="0.25">
      <c r="A2" s="231" t="s">
        <v>308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4" s="27" customFormat="1" ht="65.25" customHeight="1" x14ac:dyDescent="0.25">
      <c r="A3" s="211" t="s">
        <v>0</v>
      </c>
      <c r="B3" s="211" t="s">
        <v>1</v>
      </c>
      <c r="C3" s="211" t="s">
        <v>302</v>
      </c>
      <c r="D3" s="211" t="s">
        <v>303</v>
      </c>
      <c r="E3" s="211" t="s">
        <v>4</v>
      </c>
      <c r="F3" s="211" t="s">
        <v>304</v>
      </c>
      <c r="G3" s="211" t="s">
        <v>305</v>
      </c>
      <c r="H3" s="211" t="s">
        <v>7</v>
      </c>
      <c r="I3" s="211" t="s">
        <v>307</v>
      </c>
      <c r="J3" s="211" t="s">
        <v>9</v>
      </c>
      <c r="K3" s="211" t="s">
        <v>10</v>
      </c>
      <c r="L3" s="211" t="s">
        <v>11</v>
      </c>
      <c r="M3" s="211" t="s">
        <v>12</v>
      </c>
      <c r="N3" s="211" t="s">
        <v>13</v>
      </c>
    </row>
    <row r="4" spans="1:14" s="53" customFormat="1" ht="41.25" customHeight="1" x14ac:dyDescent="0.25">
      <c r="A4" s="209">
        <v>1</v>
      </c>
      <c r="B4" s="220">
        <v>5486</v>
      </c>
      <c r="C4" s="218" t="s">
        <v>25</v>
      </c>
      <c r="D4" s="218" t="s">
        <v>40</v>
      </c>
      <c r="E4" s="218" t="s">
        <v>190</v>
      </c>
      <c r="F4" s="209" t="s">
        <v>28</v>
      </c>
      <c r="G4" s="209">
        <v>20</v>
      </c>
      <c r="H4" s="209" t="s">
        <v>29</v>
      </c>
      <c r="I4" s="222" t="s">
        <v>259</v>
      </c>
      <c r="J4" s="209" t="s">
        <v>55</v>
      </c>
      <c r="K4" s="212">
        <f>(((4.5*(28+192)%)+4.5)+((10.5*(28+45)%)+10.5))*16250</f>
        <v>529181.25</v>
      </c>
      <c r="L4" s="212">
        <f t="shared" ref="L4:L68" si="0">K4*G4*12</f>
        <v>127003500</v>
      </c>
      <c r="M4" s="96">
        <f>L4*N4</f>
        <v>127003500</v>
      </c>
      <c r="N4" s="209">
        <v>1</v>
      </c>
    </row>
    <row r="5" spans="1:14" s="53" customFormat="1" ht="43.5" customHeight="1" x14ac:dyDescent="0.25">
      <c r="A5" s="209">
        <v>1</v>
      </c>
      <c r="B5" s="220">
        <v>5486</v>
      </c>
      <c r="C5" s="218" t="s">
        <v>34</v>
      </c>
      <c r="D5" s="218" t="s">
        <v>43</v>
      </c>
      <c r="E5" s="218" t="s">
        <v>190</v>
      </c>
      <c r="F5" s="209" t="s">
        <v>28</v>
      </c>
      <c r="G5" s="209">
        <v>20</v>
      </c>
      <c r="H5" s="209" t="s">
        <v>36</v>
      </c>
      <c r="I5" s="222" t="s">
        <v>259</v>
      </c>
      <c r="J5" s="209" t="s">
        <v>55</v>
      </c>
      <c r="K5" s="212">
        <f>((9.3*28%)+9.3)*16250</f>
        <v>193440.00000000003</v>
      </c>
      <c r="L5" s="212">
        <f t="shared" si="0"/>
        <v>46425600.000000007</v>
      </c>
      <c r="M5" s="96">
        <f t="shared" ref="M5:M51" si="1">L5*N5</f>
        <v>46425600.000000007</v>
      </c>
      <c r="N5" s="209">
        <v>1</v>
      </c>
    </row>
    <row r="6" spans="1:14" s="53" customFormat="1" ht="51" customHeight="1" x14ac:dyDescent="0.25">
      <c r="A6" s="209">
        <v>1</v>
      </c>
      <c r="B6" s="220">
        <v>5486</v>
      </c>
      <c r="C6" s="218" t="s">
        <v>34</v>
      </c>
      <c r="D6" s="218" t="s">
        <v>75</v>
      </c>
      <c r="E6" s="218" t="s">
        <v>190</v>
      </c>
      <c r="F6" s="209" t="s">
        <v>28</v>
      </c>
      <c r="G6" s="209">
        <v>20</v>
      </c>
      <c r="H6" s="209" t="s">
        <v>36</v>
      </c>
      <c r="I6" s="222" t="s">
        <v>259</v>
      </c>
      <c r="J6" s="209" t="s">
        <v>55</v>
      </c>
      <c r="K6" s="212">
        <f>((9.3*28%)+9.3)*16250</f>
        <v>193440.00000000003</v>
      </c>
      <c r="L6" s="212">
        <f t="shared" si="0"/>
        <v>46425600.000000007</v>
      </c>
      <c r="M6" s="96">
        <f t="shared" si="1"/>
        <v>46425600.000000007</v>
      </c>
      <c r="N6" s="209">
        <v>1</v>
      </c>
    </row>
    <row r="7" spans="1:14" s="53" customFormat="1" ht="48.75" customHeight="1" x14ac:dyDescent="0.25">
      <c r="A7" s="209">
        <v>1</v>
      </c>
      <c r="B7" s="220">
        <v>5487</v>
      </c>
      <c r="C7" s="218" t="s">
        <v>25</v>
      </c>
      <c r="D7" s="218" t="s">
        <v>39</v>
      </c>
      <c r="E7" s="218" t="s">
        <v>190</v>
      </c>
      <c r="F7" s="209" t="s">
        <v>28</v>
      </c>
      <c r="G7" s="209">
        <v>20</v>
      </c>
      <c r="H7" s="209" t="s">
        <v>29</v>
      </c>
      <c r="I7" s="222" t="s">
        <v>152</v>
      </c>
      <c r="J7" s="209" t="s">
        <v>30</v>
      </c>
      <c r="K7" s="212">
        <f>(((4.5*(28+192)%)+4.5)+((10.5*28%)+10.5))*16250</f>
        <v>452400.00000000006</v>
      </c>
      <c r="L7" s="212">
        <f t="shared" si="0"/>
        <v>108576000.00000003</v>
      </c>
      <c r="M7" s="96">
        <f t="shared" si="1"/>
        <v>108576000.00000003</v>
      </c>
      <c r="N7" s="209">
        <v>1</v>
      </c>
    </row>
    <row r="8" spans="1:14" s="53" customFormat="1" ht="60.75" customHeight="1" x14ac:dyDescent="0.25">
      <c r="A8" s="209">
        <v>1</v>
      </c>
      <c r="B8" s="220">
        <v>5487</v>
      </c>
      <c r="C8" s="218" t="s">
        <v>34</v>
      </c>
      <c r="D8" s="218" t="s">
        <v>35</v>
      </c>
      <c r="E8" s="218" t="s">
        <v>190</v>
      </c>
      <c r="F8" s="209" t="s">
        <v>28</v>
      </c>
      <c r="G8" s="209">
        <v>20</v>
      </c>
      <c r="H8" s="209" t="s">
        <v>36</v>
      </c>
      <c r="I8" s="222" t="s">
        <v>152</v>
      </c>
      <c r="J8" s="209" t="s">
        <v>30</v>
      </c>
      <c r="K8" s="212">
        <f>((9.3*28%)+9.3)*16250</f>
        <v>193440.00000000003</v>
      </c>
      <c r="L8" s="212">
        <f t="shared" si="0"/>
        <v>46425600.000000007</v>
      </c>
      <c r="M8" s="96">
        <f t="shared" si="1"/>
        <v>46425600.000000007</v>
      </c>
      <c r="N8" s="209">
        <v>1</v>
      </c>
    </row>
    <row r="9" spans="1:14" s="53" customFormat="1" ht="39.75" customHeight="1" x14ac:dyDescent="0.25">
      <c r="A9" s="209">
        <v>1</v>
      </c>
      <c r="B9" s="220">
        <v>5488</v>
      </c>
      <c r="C9" s="218" t="s">
        <v>25</v>
      </c>
      <c r="D9" s="218" t="s">
        <v>39</v>
      </c>
      <c r="E9" s="218" t="s">
        <v>190</v>
      </c>
      <c r="F9" s="209" t="s">
        <v>28</v>
      </c>
      <c r="G9" s="209">
        <v>29</v>
      </c>
      <c r="H9" s="209" t="s">
        <v>33</v>
      </c>
      <c r="I9" s="222" t="s">
        <v>151</v>
      </c>
      <c r="J9" s="209" t="s">
        <v>55</v>
      </c>
      <c r="K9" s="212">
        <f>(((4.5*(28+178+7)%)+4.5)+((10.5*28%)+10.5))*16250</f>
        <v>447281.25</v>
      </c>
      <c r="L9" s="212">
        <f t="shared" si="0"/>
        <v>155653875</v>
      </c>
      <c r="M9" s="96">
        <f t="shared" si="1"/>
        <v>155653875</v>
      </c>
      <c r="N9" s="209">
        <v>1</v>
      </c>
    </row>
    <row r="10" spans="1:14" s="53" customFormat="1" ht="67.5" customHeight="1" x14ac:dyDescent="0.25">
      <c r="A10" s="209">
        <v>1</v>
      </c>
      <c r="B10" s="220">
        <v>5488</v>
      </c>
      <c r="C10" s="218" t="s">
        <v>34</v>
      </c>
      <c r="D10" s="218" t="s">
        <v>35</v>
      </c>
      <c r="E10" s="218" t="s">
        <v>190</v>
      </c>
      <c r="F10" s="209" t="s">
        <v>28</v>
      </c>
      <c r="G10" s="209">
        <v>29</v>
      </c>
      <c r="H10" s="209" t="s">
        <v>36</v>
      </c>
      <c r="I10" s="222" t="s">
        <v>151</v>
      </c>
      <c r="J10" s="209" t="s">
        <v>55</v>
      </c>
      <c r="K10" s="212">
        <f>((9.3*28%)+9.3)*16250</f>
        <v>193440.00000000003</v>
      </c>
      <c r="L10" s="212">
        <f t="shared" si="0"/>
        <v>67317120.000000015</v>
      </c>
      <c r="M10" s="96">
        <f t="shared" si="1"/>
        <v>67317120.000000015</v>
      </c>
      <c r="N10" s="209">
        <v>1</v>
      </c>
    </row>
    <row r="11" spans="1:14" s="165" customFormat="1" ht="53.25" customHeight="1" x14ac:dyDescent="0.25">
      <c r="A11" s="209">
        <v>2</v>
      </c>
      <c r="B11" s="220">
        <v>5489</v>
      </c>
      <c r="C11" s="218" t="s">
        <v>25</v>
      </c>
      <c r="D11" s="218" t="s">
        <v>40</v>
      </c>
      <c r="E11" s="218" t="s">
        <v>62</v>
      </c>
      <c r="F11" s="210" t="s">
        <v>28</v>
      </c>
      <c r="G11" s="210">
        <v>12</v>
      </c>
      <c r="H11" s="210" t="s">
        <v>29</v>
      </c>
      <c r="I11" s="222" t="s">
        <v>259</v>
      </c>
      <c r="J11" s="210" t="s">
        <v>55</v>
      </c>
      <c r="K11" s="26">
        <f>(((4.5*(28+192)%)+4.5)+((10.5*(28+45)%)+10.5))*16250</f>
        <v>529181.25</v>
      </c>
      <c r="L11" s="212">
        <f t="shared" si="0"/>
        <v>76202100</v>
      </c>
      <c r="M11" s="96">
        <f t="shared" si="1"/>
        <v>76202100</v>
      </c>
      <c r="N11" s="210">
        <v>1</v>
      </c>
    </row>
    <row r="12" spans="1:14" s="165" customFormat="1" ht="53.25" customHeight="1" x14ac:dyDescent="0.25">
      <c r="A12" s="209">
        <v>2</v>
      </c>
      <c r="B12" s="220">
        <v>5489</v>
      </c>
      <c r="C12" s="218" t="s">
        <v>34</v>
      </c>
      <c r="D12" s="218" t="s">
        <v>43</v>
      </c>
      <c r="E12" s="218" t="s">
        <v>62</v>
      </c>
      <c r="F12" s="210" t="s">
        <v>28</v>
      </c>
      <c r="G12" s="210">
        <v>12</v>
      </c>
      <c r="H12" s="210" t="s">
        <v>36</v>
      </c>
      <c r="I12" s="222" t="s">
        <v>259</v>
      </c>
      <c r="J12" s="210" t="s">
        <v>55</v>
      </c>
      <c r="K12" s="217">
        <f>((9.3*28%)+9.3)*16250</f>
        <v>193440.00000000003</v>
      </c>
      <c r="L12" s="212">
        <f t="shared" si="0"/>
        <v>27855360.000000007</v>
      </c>
      <c r="M12" s="96">
        <f t="shared" si="1"/>
        <v>27855360.000000007</v>
      </c>
      <c r="N12" s="210">
        <v>1</v>
      </c>
    </row>
    <row r="13" spans="1:14" s="165" customFormat="1" ht="53.25" customHeight="1" x14ac:dyDescent="0.25">
      <c r="A13" s="209">
        <v>2</v>
      </c>
      <c r="B13" s="220">
        <v>5489</v>
      </c>
      <c r="C13" s="218" t="s">
        <v>34</v>
      </c>
      <c r="D13" s="218" t="s">
        <v>75</v>
      </c>
      <c r="E13" s="218" t="s">
        <v>62</v>
      </c>
      <c r="F13" s="210" t="s">
        <v>28</v>
      </c>
      <c r="G13" s="210">
        <v>12</v>
      </c>
      <c r="H13" s="210" t="s">
        <v>36</v>
      </c>
      <c r="I13" s="222" t="s">
        <v>259</v>
      </c>
      <c r="J13" s="210" t="s">
        <v>55</v>
      </c>
      <c r="K13" s="217">
        <f>((9.3*28%)+9.3)*16250</f>
        <v>193440.00000000003</v>
      </c>
      <c r="L13" s="212">
        <f t="shared" si="0"/>
        <v>27855360.000000007</v>
      </c>
      <c r="M13" s="96">
        <f t="shared" si="1"/>
        <v>27855360.000000007</v>
      </c>
      <c r="N13" s="210">
        <v>1</v>
      </c>
    </row>
    <row r="14" spans="1:14" s="165" customFormat="1" ht="70.5" customHeight="1" x14ac:dyDescent="0.25">
      <c r="A14" s="209">
        <v>2</v>
      </c>
      <c r="B14" s="220">
        <v>5490</v>
      </c>
      <c r="C14" s="218" t="s">
        <v>25</v>
      </c>
      <c r="D14" s="218" t="s">
        <v>41</v>
      </c>
      <c r="E14" s="218" t="s">
        <v>65</v>
      </c>
      <c r="F14" s="210" t="s">
        <v>28</v>
      </c>
      <c r="G14" s="210">
        <v>12</v>
      </c>
      <c r="H14" s="210" t="s">
        <v>29</v>
      </c>
      <c r="I14" s="221" t="s">
        <v>150</v>
      </c>
      <c r="J14" s="210" t="s">
        <v>30</v>
      </c>
      <c r="K14" s="26">
        <f>(((4.5*(28+192)%)+4.5)+((10.5*(28+45)%)+10.5))*16250</f>
        <v>529181.25</v>
      </c>
      <c r="L14" s="212">
        <f t="shared" si="0"/>
        <v>76202100</v>
      </c>
      <c r="M14" s="96">
        <f t="shared" si="1"/>
        <v>76202100</v>
      </c>
      <c r="N14" s="210">
        <v>1</v>
      </c>
    </row>
    <row r="15" spans="1:14" s="165" customFormat="1" ht="53.25" customHeight="1" x14ac:dyDescent="0.25">
      <c r="A15" s="209">
        <v>2</v>
      </c>
      <c r="B15" s="220">
        <v>5490</v>
      </c>
      <c r="C15" s="218" t="s">
        <v>34</v>
      </c>
      <c r="D15" s="218" t="s">
        <v>35</v>
      </c>
      <c r="E15" s="218" t="s">
        <v>65</v>
      </c>
      <c r="F15" s="210" t="s">
        <v>28</v>
      </c>
      <c r="G15" s="210">
        <v>12</v>
      </c>
      <c r="H15" s="210" t="s">
        <v>36</v>
      </c>
      <c r="I15" s="221" t="s">
        <v>150</v>
      </c>
      <c r="J15" s="210" t="s">
        <v>30</v>
      </c>
      <c r="K15" s="217">
        <f>((9.3*28%)+9.3)*16250</f>
        <v>193440.00000000003</v>
      </c>
      <c r="L15" s="212">
        <f t="shared" si="0"/>
        <v>27855360.000000007</v>
      </c>
      <c r="M15" s="96">
        <f t="shared" si="1"/>
        <v>27855360.000000007</v>
      </c>
      <c r="N15" s="210">
        <v>1</v>
      </c>
    </row>
    <row r="16" spans="1:14" s="165" customFormat="1" ht="44.25" customHeight="1" x14ac:dyDescent="0.25">
      <c r="A16" s="209">
        <v>2</v>
      </c>
      <c r="B16" s="220">
        <v>5491</v>
      </c>
      <c r="C16" s="218" t="s">
        <v>25</v>
      </c>
      <c r="D16" s="218" t="s">
        <v>40</v>
      </c>
      <c r="E16" s="218" t="s">
        <v>65</v>
      </c>
      <c r="F16" s="210" t="s">
        <v>28</v>
      </c>
      <c r="G16" s="210">
        <v>12</v>
      </c>
      <c r="H16" s="210" t="s">
        <v>29</v>
      </c>
      <c r="I16" s="221" t="s">
        <v>259</v>
      </c>
      <c r="J16" s="210" t="s">
        <v>55</v>
      </c>
      <c r="K16" s="26">
        <f>(((4.5*(28+192)%)+4.5)+((10.5*(28+45)%)+10.5))*16250</f>
        <v>529181.25</v>
      </c>
      <c r="L16" s="212">
        <f t="shared" si="0"/>
        <v>76202100</v>
      </c>
      <c r="M16" s="96">
        <f t="shared" si="1"/>
        <v>76202100</v>
      </c>
      <c r="N16" s="210">
        <v>1</v>
      </c>
    </row>
    <row r="17" spans="1:14" s="165" customFormat="1" ht="51" customHeight="1" x14ac:dyDescent="0.25">
      <c r="A17" s="209">
        <v>2</v>
      </c>
      <c r="B17" s="220">
        <v>5491</v>
      </c>
      <c r="C17" s="218" t="s">
        <v>34</v>
      </c>
      <c r="D17" s="218" t="s">
        <v>43</v>
      </c>
      <c r="E17" s="218" t="s">
        <v>65</v>
      </c>
      <c r="F17" s="210" t="s">
        <v>28</v>
      </c>
      <c r="G17" s="210">
        <v>12</v>
      </c>
      <c r="H17" s="210" t="s">
        <v>36</v>
      </c>
      <c r="I17" s="221" t="s">
        <v>259</v>
      </c>
      <c r="J17" s="210" t="s">
        <v>55</v>
      </c>
      <c r="K17" s="217">
        <f>((9.3*28%)+9.3)*16250</f>
        <v>193440.00000000003</v>
      </c>
      <c r="L17" s="212">
        <f t="shared" si="0"/>
        <v>27855360.000000007</v>
      </c>
      <c r="M17" s="96">
        <f t="shared" si="1"/>
        <v>27855360.000000007</v>
      </c>
      <c r="N17" s="210">
        <v>1</v>
      </c>
    </row>
    <row r="18" spans="1:14" s="165" customFormat="1" ht="49.5" customHeight="1" x14ac:dyDescent="0.25">
      <c r="A18" s="209">
        <v>2</v>
      </c>
      <c r="B18" s="220">
        <v>5491</v>
      </c>
      <c r="C18" s="218" t="s">
        <v>34</v>
      </c>
      <c r="D18" s="218" t="s">
        <v>45</v>
      </c>
      <c r="E18" s="218" t="s">
        <v>65</v>
      </c>
      <c r="F18" s="210" t="s">
        <v>28</v>
      </c>
      <c r="G18" s="210">
        <v>12</v>
      </c>
      <c r="H18" s="210" t="s">
        <v>36</v>
      </c>
      <c r="I18" s="221" t="s">
        <v>259</v>
      </c>
      <c r="J18" s="210" t="s">
        <v>55</v>
      </c>
      <c r="K18" s="217">
        <f>((9.3*28%)+9.3)*16250</f>
        <v>193440.00000000003</v>
      </c>
      <c r="L18" s="212">
        <f t="shared" si="0"/>
        <v>27855360.000000007</v>
      </c>
      <c r="M18" s="96">
        <f t="shared" si="1"/>
        <v>27855360.000000007</v>
      </c>
      <c r="N18" s="210">
        <v>1</v>
      </c>
    </row>
    <row r="19" spans="1:14" s="53" customFormat="1" ht="66" customHeight="1" x14ac:dyDescent="0.25">
      <c r="A19" s="209">
        <v>3</v>
      </c>
      <c r="B19" s="220">
        <v>5492</v>
      </c>
      <c r="C19" s="218" t="s">
        <v>25</v>
      </c>
      <c r="D19" s="218" t="s">
        <v>39</v>
      </c>
      <c r="E19" s="218" t="s">
        <v>38</v>
      </c>
      <c r="F19" s="209" t="s">
        <v>28</v>
      </c>
      <c r="G19" s="209">
        <v>30</v>
      </c>
      <c r="H19" s="209" t="s">
        <v>29</v>
      </c>
      <c r="I19" s="222" t="s">
        <v>152</v>
      </c>
      <c r="J19" s="209" t="s">
        <v>55</v>
      </c>
      <c r="K19" s="26">
        <f>(((4.5*(14+178)%)+4.5)+((10.5*14%)+10.5))*16250</f>
        <v>408037.5</v>
      </c>
      <c r="L19" s="212">
        <f t="shared" si="0"/>
        <v>146893500</v>
      </c>
      <c r="M19" s="96">
        <f t="shared" si="1"/>
        <v>146893500</v>
      </c>
      <c r="N19" s="209">
        <v>1</v>
      </c>
    </row>
    <row r="20" spans="1:14" s="53" customFormat="1" ht="79.5" customHeight="1" x14ac:dyDescent="0.25">
      <c r="A20" s="209">
        <v>3</v>
      </c>
      <c r="B20" s="220">
        <v>5492</v>
      </c>
      <c r="C20" s="218" t="s">
        <v>34</v>
      </c>
      <c r="D20" s="218" t="s">
        <v>35</v>
      </c>
      <c r="E20" s="218" t="s">
        <v>38</v>
      </c>
      <c r="F20" s="209" t="s">
        <v>28</v>
      </c>
      <c r="G20" s="209">
        <v>30</v>
      </c>
      <c r="H20" s="209" t="s">
        <v>36</v>
      </c>
      <c r="I20" s="222" t="s">
        <v>152</v>
      </c>
      <c r="J20" s="209" t="s">
        <v>55</v>
      </c>
      <c r="K20" s="26">
        <f>((9.3*14%)+9.3)*16250</f>
        <v>172282.5</v>
      </c>
      <c r="L20" s="212">
        <f t="shared" si="0"/>
        <v>62021700</v>
      </c>
      <c r="M20" s="96">
        <f t="shared" si="1"/>
        <v>62021700</v>
      </c>
      <c r="N20" s="209">
        <v>1</v>
      </c>
    </row>
    <row r="21" spans="1:14" s="165" customFormat="1" ht="50.25" customHeight="1" x14ac:dyDescent="0.25">
      <c r="A21" s="209">
        <v>3</v>
      </c>
      <c r="B21" s="220">
        <v>5493</v>
      </c>
      <c r="C21" s="218" t="s">
        <v>25</v>
      </c>
      <c r="D21" s="218" t="s">
        <v>26</v>
      </c>
      <c r="E21" s="218" t="s">
        <v>27</v>
      </c>
      <c r="F21" s="210" t="s">
        <v>28</v>
      </c>
      <c r="G21" s="210">
        <v>20</v>
      </c>
      <c r="H21" s="210" t="s">
        <v>29</v>
      </c>
      <c r="I21" s="222" t="s">
        <v>152</v>
      </c>
      <c r="J21" s="210" t="s">
        <v>32</v>
      </c>
      <c r="K21" s="26">
        <f>(((4.5*(14+192)%)+4.5)+((10.5*14%)+10.5))*16250</f>
        <v>418275.00000000006</v>
      </c>
      <c r="L21" s="212">
        <f t="shared" si="0"/>
        <v>100386000.00000001</v>
      </c>
      <c r="M21" s="96">
        <f t="shared" si="1"/>
        <v>100386000.00000001</v>
      </c>
      <c r="N21" s="210">
        <v>1</v>
      </c>
    </row>
    <row r="22" spans="1:14" s="165" customFormat="1" ht="48.75" customHeight="1" x14ac:dyDescent="0.25">
      <c r="A22" s="209">
        <v>3</v>
      </c>
      <c r="B22" s="220">
        <v>5493</v>
      </c>
      <c r="C22" s="218" t="s">
        <v>34</v>
      </c>
      <c r="D22" s="218" t="s">
        <v>35</v>
      </c>
      <c r="E22" s="218" t="s">
        <v>27</v>
      </c>
      <c r="F22" s="210" t="s">
        <v>28</v>
      </c>
      <c r="G22" s="210">
        <v>20</v>
      </c>
      <c r="H22" s="210" t="s">
        <v>36</v>
      </c>
      <c r="I22" s="222" t="s">
        <v>152</v>
      </c>
      <c r="J22" s="210" t="s">
        <v>32</v>
      </c>
      <c r="K22" s="217">
        <f>((9.3*14%)+9.3)*16250</f>
        <v>172282.5</v>
      </c>
      <c r="L22" s="212">
        <f t="shared" si="0"/>
        <v>41347800</v>
      </c>
      <c r="M22" s="96">
        <f t="shared" si="1"/>
        <v>41347800</v>
      </c>
      <c r="N22" s="210">
        <v>1</v>
      </c>
    </row>
    <row r="23" spans="1:14" s="165" customFormat="1" ht="50.25" customHeight="1" x14ac:dyDescent="0.25">
      <c r="A23" s="209">
        <v>3</v>
      </c>
      <c r="B23" s="220">
        <v>5494</v>
      </c>
      <c r="C23" s="218" t="s">
        <v>25</v>
      </c>
      <c r="D23" s="218" t="s">
        <v>40</v>
      </c>
      <c r="E23" s="218" t="s">
        <v>38</v>
      </c>
      <c r="F23" s="210" t="s">
        <v>28</v>
      </c>
      <c r="G23" s="210">
        <v>20</v>
      </c>
      <c r="H23" s="210" t="s">
        <v>29</v>
      </c>
      <c r="I23" s="221" t="s">
        <v>259</v>
      </c>
      <c r="J23" s="210" t="s">
        <v>32</v>
      </c>
      <c r="K23" s="26">
        <f>(((4.5*(14+192)%)+4.5)+((10.5*(14+45)%)+10.5))*16250</f>
        <v>495056.25</v>
      </c>
      <c r="L23" s="212">
        <f t="shared" si="0"/>
        <v>118813500</v>
      </c>
      <c r="M23" s="96">
        <f t="shared" si="1"/>
        <v>118813500</v>
      </c>
      <c r="N23" s="210">
        <v>1</v>
      </c>
    </row>
    <row r="24" spans="1:14" s="165" customFormat="1" ht="50.25" customHeight="1" x14ac:dyDescent="0.25">
      <c r="A24" s="209">
        <v>3</v>
      </c>
      <c r="B24" s="220">
        <v>5494</v>
      </c>
      <c r="C24" s="218" t="s">
        <v>34</v>
      </c>
      <c r="D24" s="218" t="s">
        <v>43</v>
      </c>
      <c r="E24" s="218" t="s">
        <v>38</v>
      </c>
      <c r="F24" s="210" t="s">
        <v>28</v>
      </c>
      <c r="G24" s="210">
        <v>20</v>
      </c>
      <c r="H24" s="210" t="s">
        <v>36</v>
      </c>
      <c r="I24" s="221" t="s">
        <v>259</v>
      </c>
      <c r="J24" s="210" t="s">
        <v>32</v>
      </c>
      <c r="K24" s="217">
        <f>((9.3*14%)+9.3)*16250</f>
        <v>172282.5</v>
      </c>
      <c r="L24" s="212">
        <f t="shared" si="0"/>
        <v>41347800</v>
      </c>
      <c r="M24" s="96">
        <f t="shared" si="1"/>
        <v>41347800</v>
      </c>
      <c r="N24" s="210">
        <v>1</v>
      </c>
    </row>
    <row r="25" spans="1:14" s="165" customFormat="1" ht="39" customHeight="1" x14ac:dyDescent="0.25">
      <c r="A25" s="209">
        <v>3</v>
      </c>
      <c r="B25" s="220">
        <v>5494</v>
      </c>
      <c r="C25" s="218" t="s">
        <v>34</v>
      </c>
      <c r="D25" s="218" t="s">
        <v>45</v>
      </c>
      <c r="E25" s="218" t="s">
        <v>38</v>
      </c>
      <c r="F25" s="210" t="s">
        <v>28</v>
      </c>
      <c r="G25" s="210">
        <v>20</v>
      </c>
      <c r="H25" s="210" t="s">
        <v>36</v>
      </c>
      <c r="I25" s="221" t="s">
        <v>259</v>
      </c>
      <c r="J25" s="210" t="s">
        <v>32</v>
      </c>
      <c r="K25" s="217">
        <f>((9.3*14%)+9.3)*16250</f>
        <v>172282.5</v>
      </c>
      <c r="L25" s="212">
        <f t="shared" si="0"/>
        <v>41347800</v>
      </c>
      <c r="M25" s="96">
        <f t="shared" si="1"/>
        <v>41347800</v>
      </c>
      <c r="N25" s="210">
        <v>1</v>
      </c>
    </row>
    <row r="26" spans="1:14" s="165" customFormat="1" ht="51" customHeight="1" x14ac:dyDescent="0.25">
      <c r="A26" s="209">
        <v>3</v>
      </c>
      <c r="B26" s="220">
        <v>5495</v>
      </c>
      <c r="C26" s="218" t="s">
        <v>25</v>
      </c>
      <c r="D26" s="218" t="s">
        <v>46</v>
      </c>
      <c r="E26" s="218" t="s">
        <v>38</v>
      </c>
      <c r="F26" s="210" t="s">
        <v>28</v>
      </c>
      <c r="G26" s="210">
        <v>30</v>
      </c>
      <c r="H26" s="210" t="s">
        <v>29</v>
      </c>
      <c r="I26" s="222" t="s">
        <v>148</v>
      </c>
      <c r="J26" s="210" t="s">
        <v>32</v>
      </c>
      <c r="K26" s="26">
        <f>(((4.5*(14+178+0)%)+4.5)+((10.5*(14+90)%)+10.5))*16250</f>
        <v>561600</v>
      </c>
      <c r="L26" s="212">
        <f t="shared" si="0"/>
        <v>202176000</v>
      </c>
      <c r="M26" s="96">
        <f t="shared" si="1"/>
        <v>202176000</v>
      </c>
      <c r="N26" s="210">
        <v>1</v>
      </c>
    </row>
    <row r="27" spans="1:14" s="165" customFormat="1" ht="51" customHeight="1" x14ac:dyDescent="0.25">
      <c r="A27" s="209">
        <v>3</v>
      </c>
      <c r="B27" s="220">
        <v>5495</v>
      </c>
      <c r="C27" s="218" t="s">
        <v>34</v>
      </c>
      <c r="D27" s="218" t="s">
        <v>35</v>
      </c>
      <c r="E27" s="218" t="s">
        <v>38</v>
      </c>
      <c r="F27" s="210" t="s">
        <v>28</v>
      </c>
      <c r="G27" s="210">
        <v>30</v>
      </c>
      <c r="H27" s="210" t="s">
        <v>36</v>
      </c>
      <c r="I27" s="222" t="s">
        <v>148</v>
      </c>
      <c r="J27" s="210" t="s">
        <v>32</v>
      </c>
      <c r="K27" s="217">
        <f>((9.3*14%)+9.3)*16250</f>
        <v>172282.5</v>
      </c>
      <c r="L27" s="212">
        <f t="shared" si="0"/>
        <v>62021700</v>
      </c>
      <c r="M27" s="96">
        <f t="shared" si="1"/>
        <v>62021700</v>
      </c>
      <c r="N27" s="210">
        <v>1</v>
      </c>
    </row>
    <row r="28" spans="1:14" s="23" customFormat="1" ht="62.25" customHeight="1" x14ac:dyDescent="0.2">
      <c r="A28" s="209">
        <v>4</v>
      </c>
      <c r="B28" s="220">
        <v>5496</v>
      </c>
      <c r="C28" s="218" t="s">
        <v>25</v>
      </c>
      <c r="D28" s="218" t="s">
        <v>46</v>
      </c>
      <c r="E28" s="218" t="s">
        <v>171</v>
      </c>
      <c r="F28" s="210" t="s">
        <v>28</v>
      </c>
      <c r="G28" s="210">
        <v>25</v>
      </c>
      <c r="H28" s="210" t="s">
        <v>29</v>
      </c>
      <c r="I28" s="222" t="s">
        <v>149</v>
      </c>
      <c r="J28" s="210" t="s">
        <v>32</v>
      </c>
      <c r="K28" s="26">
        <f>(((4.5*(14+178+0)%)+4.5)+((10.5*(14+90)%)+10.5))*16250</f>
        <v>561600</v>
      </c>
      <c r="L28" s="212">
        <f t="shared" si="0"/>
        <v>168480000</v>
      </c>
      <c r="M28" s="96">
        <f t="shared" si="1"/>
        <v>168480000</v>
      </c>
      <c r="N28" s="210">
        <v>1</v>
      </c>
    </row>
    <row r="29" spans="1:14" s="23" customFormat="1" ht="62.25" customHeight="1" x14ac:dyDescent="0.2">
      <c r="A29" s="209">
        <v>4</v>
      </c>
      <c r="B29" s="220">
        <v>5496</v>
      </c>
      <c r="C29" s="218" t="s">
        <v>34</v>
      </c>
      <c r="D29" s="218" t="s">
        <v>35</v>
      </c>
      <c r="E29" s="218" t="s">
        <v>171</v>
      </c>
      <c r="F29" s="210" t="s">
        <v>28</v>
      </c>
      <c r="G29" s="210">
        <v>25</v>
      </c>
      <c r="H29" s="210" t="s">
        <v>36</v>
      </c>
      <c r="I29" s="222" t="s">
        <v>149</v>
      </c>
      <c r="J29" s="210" t="s">
        <v>32</v>
      </c>
      <c r="K29" s="217">
        <f>((9.3*14%)+9.3)*16250</f>
        <v>172282.5</v>
      </c>
      <c r="L29" s="212">
        <f t="shared" si="0"/>
        <v>51684750</v>
      </c>
      <c r="M29" s="96">
        <f t="shared" si="1"/>
        <v>51684750</v>
      </c>
      <c r="N29" s="210">
        <v>1</v>
      </c>
    </row>
    <row r="30" spans="1:14" s="23" customFormat="1" ht="76.5" customHeight="1" x14ac:dyDescent="0.2">
      <c r="A30" s="209">
        <v>4</v>
      </c>
      <c r="B30" s="220">
        <v>5497</v>
      </c>
      <c r="C30" s="218" t="s">
        <v>25</v>
      </c>
      <c r="D30" s="218" t="s">
        <v>41</v>
      </c>
      <c r="E30" s="218" t="s">
        <v>173</v>
      </c>
      <c r="F30" s="210" t="s">
        <v>28</v>
      </c>
      <c r="G30" s="210">
        <v>12</v>
      </c>
      <c r="H30" s="210" t="s">
        <v>29</v>
      </c>
      <c r="I30" s="221" t="s">
        <v>150</v>
      </c>
      <c r="J30" s="210" t="s">
        <v>55</v>
      </c>
      <c r="K30" s="26">
        <f>(((4.5*(14+192)%)+4.5)+((10.5*(14+45)%)+10.5))*16250</f>
        <v>495056.25</v>
      </c>
      <c r="L30" s="212">
        <f t="shared" si="0"/>
        <v>71288100</v>
      </c>
      <c r="M30" s="96">
        <f t="shared" si="1"/>
        <v>71288100</v>
      </c>
      <c r="N30" s="210">
        <v>1</v>
      </c>
    </row>
    <row r="31" spans="1:14" s="23" customFormat="1" ht="76.5" customHeight="1" x14ac:dyDescent="0.2">
      <c r="A31" s="209">
        <v>4</v>
      </c>
      <c r="B31" s="220">
        <v>5497</v>
      </c>
      <c r="C31" s="218" t="s">
        <v>34</v>
      </c>
      <c r="D31" s="218" t="s">
        <v>35</v>
      </c>
      <c r="E31" s="218" t="s">
        <v>173</v>
      </c>
      <c r="F31" s="210" t="s">
        <v>28</v>
      </c>
      <c r="G31" s="210">
        <v>12</v>
      </c>
      <c r="H31" s="210" t="s">
        <v>36</v>
      </c>
      <c r="I31" s="221" t="s">
        <v>150</v>
      </c>
      <c r="J31" s="210" t="s">
        <v>55</v>
      </c>
      <c r="K31" s="217">
        <f>((9.3*14%)+9.3)*16250</f>
        <v>172282.5</v>
      </c>
      <c r="L31" s="212">
        <f t="shared" si="0"/>
        <v>24808680</v>
      </c>
      <c r="M31" s="96">
        <f t="shared" si="1"/>
        <v>24808680</v>
      </c>
      <c r="N31" s="210">
        <v>1</v>
      </c>
    </row>
    <row r="32" spans="1:14" s="23" customFormat="1" ht="52.5" customHeight="1" x14ac:dyDescent="0.2">
      <c r="A32" s="209">
        <v>4</v>
      </c>
      <c r="B32" s="220">
        <v>5498</v>
      </c>
      <c r="C32" s="218" t="s">
        <v>25</v>
      </c>
      <c r="D32" s="218" t="s">
        <v>41</v>
      </c>
      <c r="E32" s="218" t="s">
        <v>173</v>
      </c>
      <c r="F32" s="210" t="s">
        <v>28</v>
      </c>
      <c r="G32" s="210">
        <v>12</v>
      </c>
      <c r="H32" s="210" t="s">
        <v>29</v>
      </c>
      <c r="I32" s="221" t="s">
        <v>150</v>
      </c>
      <c r="J32" s="210" t="s">
        <v>30</v>
      </c>
      <c r="K32" s="26">
        <f>(((4.5*(14+192)%)+4.5)+((10.5*(14+45)%)+10.5))*16250</f>
        <v>495056.25</v>
      </c>
      <c r="L32" s="212">
        <f t="shared" si="0"/>
        <v>71288100</v>
      </c>
      <c r="M32" s="96">
        <f t="shared" si="1"/>
        <v>71288100</v>
      </c>
      <c r="N32" s="210">
        <v>1</v>
      </c>
    </row>
    <row r="33" spans="1:14" s="23" customFormat="1" ht="52.5" customHeight="1" x14ac:dyDescent="0.2">
      <c r="A33" s="209">
        <v>4</v>
      </c>
      <c r="B33" s="220">
        <v>5498</v>
      </c>
      <c r="C33" s="218" t="s">
        <v>34</v>
      </c>
      <c r="D33" s="218" t="s">
        <v>35</v>
      </c>
      <c r="E33" s="218" t="s">
        <v>173</v>
      </c>
      <c r="F33" s="210" t="s">
        <v>28</v>
      </c>
      <c r="G33" s="210">
        <v>12</v>
      </c>
      <c r="H33" s="210" t="s">
        <v>36</v>
      </c>
      <c r="I33" s="221" t="s">
        <v>150</v>
      </c>
      <c r="J33" s="210" t="s">
        <v>30</v>
      </c>
      <c r="K33" s="217">
        <f>((9.3*14%)+9.3)*16250</f>
        <v>172282.5</v>
      </c>
      <c r="L33" s="212">
        <f t="shared" si="0"/>
        <v>24808680</v>
      </c>
      <c r="M33" s="96">
        <f t="shared" si="1"/>
        <v>24808680</v>
      </c>
      <c r="N33" s="210">
        <v>1</v>
      </c>
    </row>
    <row r="34" spans="1:14" s="23" customFormat="1" ht="52.5" customHeight="1" x14ac:dyDescent="0.2">
      <c r="A34" s="209">
        <v>4</v>
      </c>
      <c r="B34" s="220">
        <v>5499</v>
      </c>
      <c r="C34" s="218" t="s">
        <v>25</v>
      </c>
      <c r="D34" s="218" t="s">
        <v>26</v>
      </c>
      <c r="E34" s="218" t="s">
        <v>177</v>
      </c>
      <c r="F34" s="210" t="s">
        <v>28</v>
      </c>
      <c r="G34" s="210">
        <v>20</v>
      </c>
      <c r="H34" s="210" t="s">
        <v>29</v>
      </c>
      <c r="I34" s="221" t="s">
        <v>151</v>
      </c>
      <c r="J34" s="210" t="s">
        <v>32</v>
      </c>
      <c r="K34" s="26">
        <f>(((4.5*(14+192+0)%)+4.5)+((10.5*14%)+10.5))*16250</f>
        <v>418275.00000000006</v>
      </c>
      <c r="L34" s="212">
        <f t="shared" si="0"/>
        <v>100386000.00000001</v>
      </c>
      <c r="M34" s="96">
        <f t="shared" si="1"/>
        <v>100386000.00000001</v>
      </c>
      <c r="N34" s="210">
        <v>1</v>
      </c>
    </row>
    <row r="35" spans="1:14" s="23" customFormat="1" ht="78.75" customHeight="1" x14ac:dyDescent="0.2">
      <c r="A35" s="209">
        <v>4</v>
      </c>
      <c r="B35" s="220">
        <v>5499</v>
      </c>
      <c r="C35" s="218" t="s">
        <v>34</v>
      </c>
      <c r="D35" s="218" t="s">
        <v>35</v>
      </c>
      <c r="E35" s="218" t="s">
        <v>177</v>
      </c>
      <c r="F35" s="210" t="s">
        <v>28</v>
      </c>
      <c r="G35" s="210">
        <v>20</v>
      </c>
      <c r="H35" s="210" t="s">
        <v>36</v>
      </c>
      <c r="I35" s="221" t="s">
        <v>151</v>
      </c>
      <c r="J35" s="210" t="s">
        <v>32</v>
      </c>
      <c r="K35" s="217">
        <f>((9.3*14%)+9.3)*16250</f>
        <v>172282.5</v>
      </c>
      <c r="L35" s="212">
        <f t="shared" si="0"/>
        <v>41347800</v>
      </c>
      <c r="M35" s="96">
        <f t="shared" si="1"/>
        <v>41347800</v>
      </c>
      <c r="N35" s="210">
        <v>1</v>
      </c>
    </row>
    <row r="36" spans="1:14" s="23" customFormat="1" ht="85.5" customHeight="1" x14ac:dyDescent="0.2">
      <c r="A36" s="209">
        <v>4</v>
      </c>
      <c r="B36" s="220">
        <v>5500</v>
      </c>
      <c r="C36" s="218" t="s">
        <v>25</v>
      </c>
      <c r="D36" s="218" t="s">
        <v>26</v>
      </c>
      <c r="E36" s="218" t="s">
        <v>178</v>
      </c>
      <c r="F36" s="210" t="s">
        <v>28</v>
      </c>
      <c r="G36" s="210">
        <v>15</v>
      </c>
      <c r="H36" s="210" t="s">
        <v>29</v>
      </c>
      <c r="I36" s="221" t="s">
        <v>150</v>
      </c>
      <c r="J36" s="210" t="s">
        <v>55</v>
      </c>
      <c r="K36" s="26">
        <f>(((4.5*(14+192+0)%)+4.5)+((10.5*14%)+10.5))*16250</f>
        <v>418275.00000000006</v>
      </c>
      <c r="L36" s="212">
        <f t="shared" si="0"/>
        <v>75289500.000000015</v>
      </c>
      <c r="M36" s="96">
        <f t="shared" si="1"/>
        <v>75289500.000000015</v>
      </c>
      <c r="N36" s="210">
        <v>1</v>
      </c>
    </row>
    <row r="37" spans="1:14" s="23" customFormat="1" ht="74.25" customHeight="1" x14ac:dyDescent="0.2">
      <c r="A37" s="215">
        <v>4</v>
      </c>
      <c r="B37" s="220">
        <v>5500</v>
      </c>
      <c r="C37" s="218" t="s">
        <v>34</v>
      </c>
      <c r="D37" s="218" t="s">
        <v>35</v>
      </c>
      <c r="E37" s="218" t="s">
        <v>178</v>
      </c>
      <c r="F37" s="216" t="s">
        <v>28</v>
      </c>
      <c r="G37" s="216">
        <v>15</v>
      </c>
      <c r="H37" s="216" t="s">
        <v>36</v>
      </c>
      <c r="I37" s="221" t="s">
        <v>150</v>
      </c>
      <c r="J37" s="216" t="s">
        <v>55</v>
      </c>
      <c r="K37" s="217">
        <f>((9.3*14%)+9.3)*16250</f>
        <v>172282.5</v>
      </c>
      <c r="L37" s="212">
        <f t="shared" si="0"/>
        <v>31010850</v>
      </c>
      <c r="M37" s="96">
        <f t="shared" si="1"/>
        <v>31010850</v>
      </c>
      <c r="N37" s="216">
        <v>1</v>
      </c>
    </row>
    <row r="38" spans="1:14" s="23" customFormat="1" ht="66" customHeight="1" x14ac:dyDescent="0.2">
      <c r="A38" s="209">
        <v>4</v>
      </c>
      <c r="B38" s="220">
        <v>5501</v>
      </c>
      <c r="C38" s="218" t="s">
        <v>25</v>
      </c>
      <c r="D38" s="218" t="s">
        <v>26</v>
      </c>
      <c r="E38" s="218" t="s">
        <v>179</v>
      </c>
      <c r="F38" s="210" t="s">
        <v>28</v>
      </c>
      <c r="G38" s="210">
        <v>12</v>
      </c>
      <c r="H38" s="210" t="s">
        <v>29</v>
      </c>
      <c r="I38" s="221" t="s">
        <v>150</v>
      </c>
      <c r="J38" s="210" t="s">
        <v>55</v>
      </c>
      <c r="K38" s="26">
        <f>(((4.5*(28+192)%)+4.5)+((10.5*28%)+10.5))*16250</f>
        <v>452400.00000000006</v>
      </c>
      <c r="L38" s="212">
        <f t="shared" si="0"/>
        <v>65145600.000000015</v>
      </c>
      <c r="M38" s="96">
        <f t="shared" si="1"/>
        <v>65145600.000000015</v>
      </c>
      <c r="N38" s="210">
        <v>1</v>
      </c>
    </row>
    <row r="39" spans="1:14" s="23" customFormat="1" ht="65.25" customHeight="1" x14ac:dyDescent="0.2">
      <c r="A39" s="209">
        <v>4</v>
      </c>
      <c r="B39" s="220">
        <v>5501</v>
      </c>
      <c r="C39" s="218" t="s">
        <v>34</v>
      </c>
      <c r="D39" s="218" t="s">
        <v>35</v>
      </c>
      <c r="E39" s="218" t="s">
        <v>179</v>
      </c>
      <c r="F39" s="210" t="s">
        <v>28</v>
      </c>
      <c r="G39" s="210">
        <v>12</v>
      </c>
      <c r="H39" s="210" t="s">
        <v>36</v>
      </c>
      <c r="I39" s="221" t="s">
        <v>150</v>
      </c>
      <c r="J39" s="210" t="s">
        <v>55</v>
      </c>
      <c r="K39" s="217">
        <f>((9.3*28%)+9.3)*16250</f>
        <v>193440.00000000003</v>
      </c>
      <c r="L39" s="212">
        <f t="shared" si="0"/>
        <v>27855360.000000007</v>
      </c>
      <c r="M39" s="96">
        <f t="shared" si="1"/>
        <v>27855360.000000007</v>
      </c>
      <c r="N39" s="210">
        <v>1</v>
      </c>
    </row>
    <row r="40" spans="1:14" s="23" customFormat="1" ht="47.25" customHeight="1" x14ac:dyDescent="0.2">
      <c r="A40" s="209">
        <v>4</v>
      </c>
      <c r="B40" s="220">
        <v>5502</v>
      </c>
      <c r="C40" s="218" t="s">
        <v>25</v>
      </c>
      <c r="D40" s="218" t="s">
        <v>26</v>
      </c>
      <c r="E40" s="218" t="s">
        <v>179</v>
      </c>
      <c r="F40" s="210" t="s">
        <v>28</v>
      </c>
      <c r="G40" s="210">
        <v>12</v>
      </c>
      <c r="H40" s="210" t="s">
        <v>29</v>
      </c>
      <c r="I40" s="221" t="s">
        <v>150</v>
      </c>
      <c r="J40" s="210" t="s">
        <v>30</v>
      </c>
      <c r="K40" s="26">
        <f>(((4.5*(28+192)%)+4.5)+((10.5*28%)+10.5))*16250</f>
        <v>452400.00000000006</v>
      </c>
      <c r="L40" s="212">
        <f t="shared" si="0"/>
        <v>65145600.000000015</v>
      </c>
      <c r="M40" s="96">
        <f t="shared" si="1"/>
        <v>65145600.000000015</v>
      </c>
      <c r="N40" s="210">
        <v>1</v>
      </c>
    </row>
    <row r="41" spans="1:14" s="23" customFormat="1" ht="47.25" customHeight="1" x14ac:dyDescent="0.2">
      <c r="A41" s="209">
        <v>4</v>
      </c>
      <c r="B41" s="220">
        <v>5502</v>
      </c>
      <c r="C41" s="218" t="s">
        <v>34</v>
      </c>
      <c r="D41" s="218" t="s">
        <v>35</v>
      </c>
      <c r="E41" s="218" t="s">
        <v>179</v>
      </c>
      <c r="F41" s="210" t="s">
        <v>28</v>
      </c>
      <c r="G41" s="210">
        <v>12</v>
      </c>
      <c r="H41" s="210" t="s">
        <v>36</v>
      </c>
      <c r="I41" s="221" t="s">
        <v>150</v>
      </c>
      <c r="J41" s="210" t="s">
        <v>30</v>
      </c>
      <c r="K41" s="217">
        <f>((9.3*28%)+9.3)*16250</f>
        <v>193440.00000000003</v>
      </c>
      <c r="L41" s="212">
        <f t="shared" si="0"/>
        <v>27855360.000000007</v>
      </c>
      <c r="M41" s="96">
        <f t="shared" si="1"/>
        <v>27855360.000000007</v>
      </c>
      <c r="N41" s="210">
        <v>1</v>
      </c>
    </row>
    <row r="42" spans="1:14" s="53" customFormat="1" ht="28.5" customHeight="1" x14ac:dyDescent="0.25">
      <c r="A42" s="209">
        <v>5</v>
      </c>
      <c r="B42" s="220">
        <v>5503</v>
      </c>
      <c r="C42" s="218" t="s">
        <v>25</v>
      </c>
      <c r="D42" s="218" t="s">
        <v>46</v>
      </c>
      <c r="E42" s="218" t="s">
        <v>146</v>
      </c>
      <c r="F42" s="209" t="s">
        <v>28</v>
      </c>
      <c r="G42" s="209">
        <v>21</v>
      </c>
      <c r="H42" s="210" t="s">
        <v>29</v>
      </c>
      <c r="I42" s="222" t="s">
        <v>148</v>
      </c>
      <c r="J42" s="209" t="s">
        <v>32</v>
      </c>
      <c r="K42" s="212">
        <f>(((4.5*(0+178)%)+4.5)+((10.5*(0+90)%)+10.5))*16250</f>
        <v>527475</v>
      </c>
      <c r="L42" s="212">
        <f t="shared" si="0"/>
        <v>132923700</v>
      </c>
      <c r="M42" s="96">
        <f t="shared" si="1"/>
        <v>132923700</v>
      </c>
      <c r="N42" s="209">
        <v>1</v>
      </c>
    </row>
    <row r="43" spans="1:14" s="53" customFormat="1" ht="28.5" customHeight="1" x14ac:dyDescent="0.25">
      <c r="A43" s="209">
        <v>5</v>
      </c>
      <c r="B43" s="220">
        <v>5503</v>
      </c>
      <c r="C43" s="218" t="s">
        <v>34</v>
      </c>
      <c r="D43" s="218" t="s">
        <v>35</v>
      </c>
      <c r="E43" s="218" t="s">
        <v>146</v>
      </c>
      <c r="F43" s="209" t="s">
        <v>28</v>
      </c>
      <c r="G43" s="209">
        <v>21</v>
      </c>
      <c r="H43" s="210" t="s">
        <v>36</v>
      </c>
      <c r="I43" s="222" t="s">
        <v>148</v>
      </c>
      <c r="J43" s="209" t="s">
        <v>32</v>
      </c>
      <c r="K43" s="212">
        <f>((9.3*0%)+9.3)*16250</f>
        <v>151125</v>
      </c>
      <c r="L43" s="212">
        <f t="shared" si="0"/>
        <v>38083500</v>
      </c>
      <c r="M43" s="96">
        <f t="shared" si="1"/>
        <v>38083500</v>
      </c>
      <c r="N43" s="209">
        <v>1</v>
      </c>
    </row>
    <row r="44" spans="1:14" s="23" customFormat="1" ht="51" customHeight="1" x14ac:dyDescent="0.2">
      <c r="A44" s="209">
        <v>5</v>
      </c>
      <c r="B44" s="220">
        <v>5504</v>
      </c>
      <c r="C44" s="218" t="s">
        <v>25</v>
      </c>
      <c r="D44" s="218" t="s">
        <v>26</v>
      </c>
      <c r="E44" s="218" t="s">
        <v>127</v>
      </c>
      <c r="F44" s="210" t="s">
        <v>28</v>
      </c>
      <c r="G44" s="210">
        <v>40</v>
      </c>
      <c r="H44" s="210" t="s">
        <v>29</v>
      </c>
      <c r="I44" s="221" t="s">
        <v>151</v>
      </c>
      <c r="J44" s="210" t="s">
        <v>55</v>
      </c>
      <c r="K44" s="26">
        <f>(((4.5*(0+178+0)%)+4.5)+((10.5*0%)+10.5))*16250</f>
        <v>373912.49999999994</v>
      </c>
      <c r="L44" s="212">
        <f t="shared" si="0"/>
        <v>179477999.99999997</v>
      </c>
      <c r="M44" s="96">
        <f t="shared" si="1"/>
        <v>179477999.99999997</v>
      </c>
      <c r="N44" s="210">
        <v>1</v>
      </c>
    </row>
    <row r="45" spans="1:14" s="23" customFormat="1" ht="66" customHeight="1" x14ac:dyDescent="0.2">
      <c r="A45" s="209">
        <v>5</v>
      </c>
      <c r="B45" s="220">
        <v>5504</v>
      </c>
      <c r="C45" s="218" t="s">
        <v>34</v>
      </c>
      <c r="D45" s="218" t="s">
        <v>35</v>
      </c>
      <c r="E45" s="218" t="s">
        <v>127</v>
      </c>
      <c r="F45" s="210" t="s">
        <v>28</v>
      </c>
      <c r="G45" s="210">
        <v>22</v>
      </c>
      <c r="H45" s="210" t="s">
        <v>36</v>
      </c>
      <c r="I45" s="221" t="s">
        <v>151</v>
      </c>
      <c r="J45" s="210" t="s">
        <v>55</v>
      </c>
      <c r="K45" s="217">
        <f>((9.3*0%)+9.3)*16250</f>
        <v>151125</v>
      </c>
      <c r="L45" s="212">
        <f t="shared" si="0"/>
        <v>39897000</v>
      </c>
      <c r="M45" s="96">
        <f t="shared" si="1"/>
        <v>39897000</v>
      </c>
      <c r="N45" s="210">
        <v>1</v>
      </c>
    </row>
    <row r="46" spans="1:14" s="23" customFormat="1" ht="76.5" customHeight="1" x14ac:dyDescent="0.2">
      <c r="A46" s="209">
        <v>5</v>
      </c>
      <c r="B46" s="220">
        <v>5505</v>
      </c>
      <c r="C46" s="218" t="s">
        <v>25</v>
      </c>
      <c r="D46" s="218" t="s">
        <v>40</v>
      </c>
      <c r="E46" s="218" t="s">
        <v>131</v>
      </c>
      <c r="F46" s="210" t="s">
        <v>28</v>
      </c>
      <c r="G46" s="210">
        <v>23</v>
      </c>
      <c r="H46" s="210" t="s">
        <v>29</v>
      </c>
      <c r="I46" s="221" t="s">
        <v>259</v>
      </c>
      <c r="J46" s="210" t="s">
        <v>30</v>
      </c>
      <c r="K46" s="26">
        <f>(((4.5*(0+178)%)+4.5)+((10.5*(0+45)%)+10.5))*16250</f>
        <v>450693.75</v>
      </c>
      <c r="L46" s="212">
        <f t="shared" si="0"/>
        <v>124391475</v>
      </c>
      <c r="M46" s="96">
        <f t="shared" si="1"/>
        <v>124391475</v>
      </c>
      <c r="N46" s="210">
        <v>1</v>
      </c>
    </row>
    <row r="47" spans="1:14" s="23" customFormat="1" ht="81.75" customHeight="1" x14ac:dyDescent="0.2">
      <c r="A47" s="209">
        <v>5</v>
      </c>
      <c r="B47" s="220">
        <v>5505</v>
      </c>
      <c r="C47" s="218" t="s">
        <v>34</v>
      </c>
      <c r="D47" s="218" t="s">
        <v>43</v>
      </c>
      <c r="E47" s="218" t="s">
        <v>131</v>
      </c>
      <c r="F47" s="210" t="s">
        <v>28</v>
      </c>
      <c r="G47" s="210">
        <v>23</v>
      </c>
      <c r="H47" s="210" t="s">
        <v>36</v>
      </c>
      <c r="I47" s="221" t="s">
        <v>259</v>
      </c>
      <c r="J47" s="210" t="s">
        <v>30</v>
      </c>
      <c r="K47" s="217">
        <f>((9.3*0%)+9.3)*16250</f>
        <v>151125</v>
      </c>
      <c r="L47" s="212">
        <f t="shared" si="0"/>
        <v>41710500</v>
      </c>
      <c r="M47" s="96">
        <f t="shared" si="1"/>
        <v>41710500</v>
      </c>
      <c r="N47" s="210">
        <v>1</v>
      </c>
    </row>
    <row r="48" spans="1:14" s="23" customFormat="1" ht="81.75" customHeight="1" x14ac:dyDescent="0.2">
      <c r="A48" s="209">
        <v>5</v>
      </c>
      <c r="B48" s="220">
        <v>5505</v>
      </c>
      <c r="C48" s="218" t="s">
        <v>34</v>
      </c>
      <c r="D48" s="218" t="s">
        <v>75</v>
      </c>
      <c r="E48" s="218" t="s">
        <v>131</v>
      </c>
      <c r="F48" s="210" t="s">
        <v>28</v>
      </c>
      <c r="G48" s="210">
        <v>23</v>
      </c>
      <c r="H48" s="210" t="s">
        <v>36</v>
      </c>
      <c r="I48" s="221" t="s">
        <v>259</v>
      </c>
      <c r="J48" s="210" t="s">
        <v>30</v>
      </c>
      <c r="K48" s="217">
        <f>((9.3*0%)+9.3)*16250</f>
        <v>151125</v>
      </c>
      <c r="L48" s="212">
        <f t="shared" si="0"/>
        <v>41710500</v>
      </c>
      <c r="M48" s="96">
        <f t="shared" si="1"/>
        <v>41710500</v>
      </c>
      <c r="N48" s="210">
        <v>1</v>
      </c>
    </row>
    <row r="49" spans="1:14" s="23" customFormat="1" ht="56.25" customHeight="1" x14ac:dyDescent="0.2">
      <c r="A49" s="209">
        <v>5</v>
      </c>
      <c r="B49" s="220">
        <v>5506</v>
      </c>
      <c r="C49" s="218" t="s">
        <v>25</v>
      </c>
      <c r="D49" s="218" t="s">
        <v>40</v>
      </c>
      <c r="E49" s="218" t="s">
        <v>131</v>
      </c>
      <c r="F49" s="210" t="s">
        <v>28</v>
      </c>
      <c r="G49" s="210">
        <v>20</v>
      </c>
      <c r="H49" s="210" t="s">
        <v>29</v>
      </c>
      <c r="I49" s="222" t="s">
        <v>259</v>
      </c>
      <c r="J49" s="210" t="s">
        <v>30</v>
      </c>
      <c r="K49" s="26">
        <f>(((4.5*(0+192)%)+4.5)+((10.5*(0+45)%)+10.5))*16250</f>
        <v>460931.25000000006</v>
      </c>
      <c r="L49" s="212">
        <f t="shared" si="0"/>
        <v>110623500.00000003</v>
      </c>
      <c r="M49" s="96">
        <f t="shared" si="1"/>
        <v>110623500.00000003</v>
      </c>
      <c r="N49" s="210">
        <v>1</v>
      </c>
    </row>
    <row r="50" spans="1:14" s="23" customFormat="1" ht="45.75" customHeight="1" x14ac:dyDescent="0.2">
      <c r="A50" s="209">
        <v>5</v>
      </c>
      <c r="B50" s="220">
        <v>5506</v>
      </c>
      <c r="C50" s="218" t="s">
        <v>34</v>
      </c>
      <c r="D50" s="218" t="s">
        <v>43</v>
      </c>
      <c r="E50" s="218" t="s">
        <v>131</v>
      </c>
      <c r="F50" s="210" t="s">
        <v>28</v>
      </c>
      <c r="G50" s="210">
        <v>20</v>
      </c>
      <c r="H50" s="210" t="s">
        <v>36</v>
      </c>
      <c r="I50" s="222" t="s">
        <v>259</v>
      </c>
      <c r="J50" s="210" t="s">
        <v>30</v>
      </c>
      <c r="K50" s="217">
        <f>((9.3*0%)+9.3)*16250</f>
        <v>151125</v>
      </c>
      <c r="L50" s="212">
        <f t="shared" si="0"/>
        <v>36270000</v>
      </c>
      <c r="M50" s="96">
        <f t="shared" si="1"/>
        <v>36270000</v>
      </c>
      <c r="N50" s="210">
        <v>1</v>
      </c>
    </row>
    <row r="51" spans="1:14" s="23" customFormat="1" ht="44.25" customHeight="1" x14ac:dyDescent="0.2">
      <c r="A51" s="209">
        <v>5</v>
      </c>
      <c r="B51" s="220">
        <v>5506</v>
      </c>
      <c r="C51" s="218" t="s">
        <v>34</v>
      </c>
      <c r="D51" s="218" t="s">
        <v>75</v>
      </c>
      <c r="E51" s="218" t="s">
        <v>131</v>
      </c>
      <c r="F51" s="210" t="s">
        <v>28</v>
      </c>
      <c r="G51" s="210">
        <v>20</v>
      </c>
      <c r="H51" s="210" t="s">
        <v>36</v>
      </c>
      <c r="I51" s="222" t="s">
        <v>259</v>
      </c>
      <c r="J51" s="210" t="s">
        <v>30</v>
      </c>
      <c r="K51" s="217">
        <f>((9.3*0%)+9.3)*16250</f>
        <v>151125</v>
      </c>
      <c r="L51" s="212">
        <f t="shared" si="0"/>
        <v>36270000</v>
      </c>
      <c r="M51" s="96">
        <f t="shared" si="1"/>
        <v>36270000</v>
      </c>
      <c r="N51" s="210">
        <v>1</v>
      </c>
    </row>
    <row r="52" spans="1:14" s="23" customFormat="1" ht="78.75" customHeight="1" x14ac:dyDescent="0.2">
      <c r="A52" s="209">
        <v>5</v>
      </c>
      <c r="B52" s="220">
        <v>5507</v>
      </c>
      <c r="C52" s="218" t="s">
        <v>25</v>
      </c>
      <c r="D52" s="218" t="s">
        <v>26</v>
      </c>
      <c r="E52" s="218" t="s">
        <v>137</v>
      </c>
      <c r="F52" s="210" t="s">
        <v>28</v>
      </c>
      <c r="G52" s="210">
        <v>30</v>
      </c>
      <c r="H52" s="210" t="s">
        <v>29</v>
      </c>
      <c r="I52" s="222" t="s">
        <v>152</v>
      </c>
      <c r="J52" s="210" t="s">
        <v>30</v>
      </c>
      <c r="K52" s="26">
        <f>(((4.5*(0+178)%)+4.5)+((10.5*0%)+10.5))*16250</f>
        <v>373912.49999999994</v>
      </c>
      <c r="L52" s="212">
        <f t="shared" si="0"/>
        <v>134608499.99999997</v>
      </c>
      <c r="M52" s="26">
        <f>L52*N52</f>
        <v>134608499.99999997</v>
      </c>
      <c r="N52" s="210">
        <v>1</v>
      </c>
    </row>
    <row r="53" spans="1:14" s="23" customFormat="1" ht="59.25" customHeight="1" x14ac:dyDescent="0.2">
      <c r="A53" s="209">
        <v>5</v>
      </c>
      <c r="B53" s="220">
        <v>5507</v>
      </c>
      <c r="C53" s="218" t="s">
        <v>34</v>
      </c>
      <c r="D53" s="218" t="s">
        <v>35</v>
      </c>
      <c r="E53" s="218" t="s">
        <v>137</v>
      </c>
      <c r="F53" s="210" t="s">
        <v>28</v>
      </c>
      <c r="G53" s="210">
        <v>30</v>
      </c>
      <c r="H53" s="210" t="s">
        <v>36</v>
      </c>
      <c r="I53" s="222" t="s">
        <v>152</v>
      </c>
      <c r="J53" s="210" t="s">
        <v>30</v>
      </c>
      <c r="K53" s="217">
        <f>((9.3*0%)+9.3)*16250</f>
        <v>151125</v>
      </c>
      <c r="L53" s="212">
        <f t="shared" si="0"/>
        <v>54405000</v>
      </c>
      <c r="M53" s="217">
        <f t="shared" ref="M53:M62" si="2">L53*N53</f>
        <v>54405000</v>
      </c>
      <c r="N53" s="210">
        <v>1</v>
      </c>
    </row>
    <row r="54" spans="1:14" s="23" customFormat="1" ht="55.5" customHeight="1" x14ac:dyDescent="0.2">
      <c r="A54" s="209">
        <v>5</v>
      </c>
      <c r="B54" s="220">
        <v>5508</v>
      </c>
      <c r="C54" s="218" t="s">
        <v>25</v>
      </c>
      <c r="D54" s="218" t="s">
        <v>40</v>
      </c>
      <c r="E54" s="218" t="s">
        <v>147</v>
      </c>
      <c r="F54" s="210" t="s">
        <v>28</v>
      </c>
      <c r="G54" s="210">
        <v>12</v>
      </c>
      <c r="H54" s="210" t="s">
        <v>29</v>
      </c>
      <c r="I54" s="221" t="s">
        <v>259</v>
      </c>
      <c r="J54" s="210" t="s">
        <v>30</v>
      </c>
      <c r="K54" s="26">
        <f>(((4.5*(0+192)%)+4.5)+((10.5*(0+45)%)+10.5))*16250</f>
        <v>460931.25000000006</v>
      </c>
      <c r="L54" s="212">
        <f t="shared" si="0"/>
        <v>66374100.000000015</v>
      </c>
      <c r="M54" s="26">
        <f t="shared" si="2"/>
        <v>66374100.000000015</v>
      </c>
      <c r="N54" s="210">
        <v>1</v>
      </c>
    </row>
    <row r="55" spans="1:14" s="23" customFormat="1" ht="44.25" customHeight="1" x14ac:dyDescent="0.2">
      <c r="A55" s="209">
        <v>5</v>
      </c>
      <c r="B55" s="220">
        <v>5508</v>
      </c>
      <c r="C55" s="218" t="s">
        <v>34</v>
      </c>
      <c r="D55" s="218" t="s">
        <v>43</v>
      </c>
      <c r="E55" s="218" t="s">
        <v>147</v>
      </c>
      <c r="F55" s="210" t="s">
        <v>28</v>
      </c>
      <c r="G55" s="210">
        <v>12</v>
      </c>
      <c r="H55" s="210" t="s">
        <v>36</v>
      </c>
      <c r="I55" s="221" t="s">
        <v>259</v>
      </c>
      <c r="J55" s="210" t="s">
        <v>30</v>
      </c>
      <c r="K55" s="217">
        <f>((9.3*0%)+9.3)*16250</f>
        <v>151125</v>
      </c>
      <c r="L55" s="212">
        <f t="shared" si="0"/>
        <v>21762000</v>
      </c>
      <c r="M55" s="217">
        <f t="shared" si="2"/>
        <v>21762000</v>
      </c>
      <c r="N55" s="210">
        <v>1</v>
      </c>
    </row>
    <row r="56" spans="1:14" s="23" customFormat="1" ht="44.25" customHeight="1" x14ac:dyDescent="0.2">
      <c r="A56" s="209">
        <v>5</v>
      </c>
      <c r="B56" s="220">
        <v>5508</v>
      </c>
      <c r="C56" s="218" t="s">
        <v>34</v>
      </c>
      <c r="D56" s="218" t="s">
        <v>75</v>
      </c>
      <c r="E56" s="218" t="s">
        <v>147</v>
      </c>
      <c r="F56" s="210" t="s">
        <v>28</v>
      </c>
      <c r="G56" s="210">
        <v>12</v>
      </c>
      <c r="H56" s="210" t="s">
        <v>36</v>
      </c>
      <c r="I56" s="221" t="s">
        <v>259</v>
      </c>
      <c r="J56" s="210" t="s">
        <v>30</v>
      </c>
      <c r="K56" s="217">
        <f>((9.3*0%)+9.3)*16250</f>
        <v>151125</v>
      </c>
      <c r="L56" s="212">
        <f t="shared" si="0"/>
        <v>21762000</v>
      </c>
      <c r="M56" s="217">
        <f t="shared" si="2"/>
        <v>21762000</v>
      </c>
      <c r="N56" s="210">
        <v>1</v>
      </c>
    </row>
    <row r="57" spans="1:14" s="23" customFormat="1" ht="44.25" customHeight="1" x14ac:dyDescent="0.2">
      <c r="A57" s="209">
        <v>5</v>
      </c>
      <c r="B57" s="220">
        <v>5509</v>
      </c>
      <c r="C57" s="218" t="s">
        <v>25</v>
      </c>
      <c r="D57" s="218" t="s">
        <v>26</v>
      </c>
      <c r="E57" s="218" t="s">
        <v>215</v>
      </c>
      <c r="F57" s="210" t="s">
        <v>28</v>
      </c>
      <c r="G57" s="209">
        <v>38</v>
      </c>
      <c r="H57" s="210" t="s">
        <v>33</v>
      </c>
      <c r="I57" s="221" t="s">
        <v>150</v>
      </c>
      <c r="J57" s="210" t="s">
        <v>55</v>
      </c>
      <c r="K57" s="26">
        <f>(((4.5*(0+178+7)%)+4.5)+((10.5*0%)+10.5))*16250</f>
        <v>379031.25000000006</v>
      </c>
      <c r="L57" s="212">
        <f t="shared" si="0"/>
        <v>172838250.00000003</v>
      </c>
      <c r="M57" s="217">
        <f t="shared" si="2"/>
        <v>172838250.00000003</v>
      </c>
      <c r="N57" s="210">
        <v>1</v>
      </c>
    </row>
    <row r="58" spans="1:14" s="23" customFormat="1" ht="44.25" customHeight="1" x14ac:dyDescent="0.2">
      <c r="A58" s="209">
        <v>5</v>
      </c>
      <c r="B58" s="220">
        <v>5509</v>
      </c>
      <c r="C58" s="218" t="s">
        <v>34</v>
      </c>
      <c r="D58" s="218" t="s">
        <v>35</v>
      </c>
      <c r="E58" s="218" t="s">
        <v>215</v>
      </c>
      <c r="F58" s="210" t="s">
        <v>28</v>
      </c>
      <c r="G58" s="209">
        <v>38</v>
      </c>
      <c r="H58" s="210" t="s">
        <v>36</v>
      </c>
      <c r="I58" s="221" t="s">
        <v>150</v>
      </c>
      <c r="J58" s="210" t="s">
        <v>55</v>
      </c>
      <c r="K58" s="217">
        <f>((9.3*0%)+9.3)*16250</f>
        <v>151125</v>
      </c>
      <c r="L58" s="212">
        <f t="shared" si="0"/>
        <v>68913000</v>
      </c>
      <c r="M58" s="217">
        <f t="shared" si="2"/>
        <v>68913000</v>
      </c>
      <c r="N58" s="210">
        <v>1</v>
      </c>
    </row>
    <row r="59" spans="1:14" s="23" customFormat="1" ht="44.25" customHeight="1" x14ac:dyDescent="0.2">
      <c r="A59" s="209">
        <v>5</v>
      </c>
      <c r="B59" s="220">
        <v>5510</v>
      </c>
      <c r="C59" s="218" t="s">
        <v>25</v>
      </c>
      <c r="D59" s="218" t="s">
        <v>26</v>
      </c>
      <c r="E59" s="218" t="s">
        <v>144</v>
      </c>
      <c r="F59" s="209" t="s">
        <v>216</v>
      </c>
      <c r="G59" s="209">
        <v>27</v>
      </c>
      <c r="H59" s="210" t="s">
        <v>33</v>
      </c>
      <c r="I59" s="221" t="s">
        <v>152</v>
      </c>
      <c r="J59" s="210" t="s">
        <v>55</v>
      </c>
      <c r="K59" s="26">
        <f>(((4.5*(0+178+7)%)+4.5)+((10.5*0%)+10.5))*16250</f>
        <v>379031.25000000006</v>
      </c>
      <c r="L59" s="212">
        <f t="shared" si="0"/>
        <v>122806125.00000003</v>
      </c>
      <c r="M59" s="217">
        <f t="shared" si="2"/>
        <v>122806125.00000003</v>
      </c>
      <c r="N59" s="210">
        <v>1</v>
      </c>
    </row>
    <row r="60" spans="1:14" s="23" customFormat="1" ht="44.25" customHeight="1" x14ac:dyDescent="0.2">
      <c r="A60" s="209">
        <v>5</v>
      </c>
      <c r="B60" s="220">
        <v>5510</v>
      </c>
      <c r="C60" s="218" t="s">
        <v>34</v>
      </c>
      <c r="D60" s="218" t="s">
        <v>35</v>
      </c>
      <c r="E60" s="218" t="s">
        <v>144</v>
      </c>
      <c r="F60" s="209" t="s">
        <v>216</v>
      </c>
      <c r="G60" s="209">
        <v>27</v>
      </c>
      <c r="H60" s="210" t="s">
        <v>36</v>
      </c>
      <c r="I60" s="221" t="s">
        <v>152</v>
      </c>
      <c r="J60" s="210" t="s">
        <v>55</v>
      </c>
      <c r="K60" s="217">
        <f>((9.3*0%)+9.3)*16250</f>
        <v>151125</v>
      </c>
      <c r="L60" s="212">
        <f t="shared" si="0"/>
        <v>48964500</v>
      </c>
      <c r="M60" s="217">
        <f t="shared" si="2"/>
        <v>48964500</v>
      </c>
      <c r="N60" s="210">
        <v>1</v>
      </c>
    </row>
    <row r="61" spans="1:14" s="23" customFormat="1" ht="67.5" customHeight="1" x14ac:dyDescent="0.2">
      <c r="A61" s="209">
        <v>5</v>
      </c>
      <c r="B61" s="220">
        <v>5511</v>
      </c>
      <c r="C61" s="218" t="s">
        <v>25</v>
      </c>
      <c r="D61" s="218" t="s">
        <v>41</v>
      </c>
      <c r="E61" s="220" t="s">
        <v>138</v>
      </c>
      <c r="F61" s="210" t="s">
        <v>28</v>
      </c>
      <c r="G61" s="210">
        <v>10</v>
      </c>
      <c r="H61" s="210" t="s">
        <v>29</v>
      </c>
      <c r="I61" s="221" t="s">
        <v>150</v>
      </c>
      <c r="J61" s="210" t="s">
        <v>55</v>
      </c>
      <c r="K61" s="26">
        <f>(((4.5*(0+192)%)+4.5)+((10.5*(0+45)%)+10.5))*16250</f>
        <v>460931.25000000006</v>
      </c>
      <c r="L61" s="212">
        <f t="shared" si="0"/>
        <v>55311750.000000015</v>
      </c>
      <c r="M61" s="217">
        <f t="shared" si="2"/>
        <v>55311750.000000015</v>
      </c>
      <c r="N61" s="210">
        <v>1</v>
      </c>
    </row>
    <row r="62" spans="1:14" s="23" customFormat="1" ht="65.25" customHeight="1" x14ac:dyDescent="0.2">
      <c r="A62" s="209">
        <v>5</v>
      </c>
      <c r="B62" s="220">
        <v>5511</v>
      </c>
      <c r="C62" s="218" t="s">
        <v>34</v>
      </c>
      <c r="D62" s="218" t="s">
        <v>35</v>
      </c>
      <c r="E62" s="220" t="s">
        <v>138</v>
      </c>
      <c r="F62" s="210" t="s">
        <v>28</v>
      </c>
      <c r="G62" s="210">
        <v>10</v>
      </c>
      <c r="H62" s="210" t="s">
        <v>36</v>
      </c>
      <c r="I62" s="221" t="s">
        <v>150</v>
      </c>
      <c r="J62" s="210" t="s">
        <v>55</v>
      </c>
      <c r="K62" s="217">
        <f>((9.3*0%)+9.3)*16250</f>
        <v>151125</v>
      </c>
      <c r="L62" s="212">
        <f t="shared" si="0"/>
        <v>18135000</v>
      </c>
      <c r="M62" s="217">
        <f t="shared" si="2"/>
        <v>18135000</v>
      </c>
      <c r="N62" s="210">
        <v>1</v>
      </c>
    </row>
    <row r="63" spans="1:14" s="23" customFormat="1" ht="62.25" customHeight="1" x14ac:dyDescent="0.2">
      <c r="A63" s="209">
        <v>6</v>
      </c>
      <c r="B63" s="220">
        <v>5512</v>
      </c>
      <c r="C63" s="218" t="s">
        <v>25</v>
      </c>
      <c r="D63" s="218" t="s">
        <v>40</v>
      </c>
      <c r="E63" s="218" t="s">
        <v>52</v>
      </c>
      <c r="F63" s="210" t="s">
        <v>28</v>
      </c>
      <c r="G63" s="210">
        <v>20</v>
      </c>
      <c r="H63" s="210" t="s">
        <v>29</v>
      </c>
      <c r="I63" s="222" t="s">
        <v>259</v>
      </c>
      <c r="J63" s="14" t="s">
        <v>30</v>
      </c>
      <c r="K63" s="26">
        <f>(((4.5*(0+192)%)+4.5)+((10.5*(0+45)%)+10.5))*16250</f>
        <v>460931.25000000006</v>
      </c>
      <c r="L63" s="212">
        <f t="shared" si="0"/>
        <v>110623500.00000003</v>
      </c>
      <c r="M63" s="26">
        <f t="shared" ref="M63:M73" si="3">L63*N63</f>
        <v>110623500.00000003</v>
      </c>
      <c r="N63" s="210">
        <v>1</v>
      </c>
    </row>
    <row r="64" spans="1:14" s="23" customFormat="1" ht="62.25" customHeight="1" x14ac:dyDescent="0.2">
      <c r="A64" s="209">
        <v>6</v>
      </c>
      <c r="B64" s="220">
        <v>5512</v>
      </c>
      <c r="C64" s="218" t="s">
        <v>34</v>
      </c>
      <c r="D64" s="218" t="s">
        <v>43</v>
      </c>
      <c r="E64" s="218" t="s">
        <v>52</v>
      </c>
      <c r="F64" s="210" t="s">
        <v>28</v>
      </c>
      <c r="G64" s="210">
        <v>20</v>
      </c>
      <c r="H64" s="210" t="s">
        <v>36</v>
      </c>
      <c r="I64" s="222" t="s">
        <v>259</v>
      </c>
      <c r="J64" s="14" t="s">
        <v>30</v>
      </c>
      <c r="K64" s="217">
        <f>((9.3*0%)+9.3)*16250</f>
        <v>151125</v>
      </c>
      <c r="L64" s="212">
        <f t="shared" si="0"/>
        <v>36270000</v>
      </c>
      <c r="M64" s="217">
        <f t="shared" si="3"/>
        <v>36270000</v>
      </c>
      <c r="N64" s="210">
        <v>1</v>
      </c>
    </row>
    <row r="65" spans="1:14" s="23" customFormat="1" ht="47.25" customHeight="1" x14ac:dyDescent="0.2">
      <c r="A65" s="209">
        <v>6</v>
      </c>
      <c r="B65" s="220">
        <v>5512</v>
      </c>
      <c r="C65" s="218" t="s">
        <v>34</v>
      </c>
      <c r="D65" s="218" t="s">
        <v>75</v>
      </c>
      <c r="E65" s="218" t="s">
        <v>52</v>
      </c>
      <c r="F65" s="210" t="s">
        <v>28</v>
      </c>
      <c r="G65" s="210">
        <v>20</v>
      </c>
      <c r="H65" s="210" t="s">
        <v>36</v>
      </c>
      <c r="I65" s="222" t="s">
        <v>259</v>
      </c>
      <c r="J65" s="14" t="s">
        <v>30</v>
      </c>
      <c r="K65" s="217">
        <f>((9.3*0%)+9.3)*16250</f>
        <v>151125</v>
      </c>
      <c r="L65" s="212">
        <f t="shared" si="0"/>
        <v>36270000</v>
      </c>
      <c r="M65" s="217">
        <f t="shared" si="3"/>
        <v>36270000</v>
      </c>
      <c r="N65" s="210">
        <v>1</v>
      </c>
    </row>
    <row r="66" spans="1:14" s="23" customFormat="1" ht="62.25" customHeight="1" x14ac:dyDescent="0.2">
      <c r="A66" s="209">
        <v>6</v>
      </c>
      <c r="B66" s="220">
        <v>5513</v>
      </c>
      <c r="C66" s="218" t="s">
        <v>25</v>
      </c>
      <c r="D66" s="218" t="s">
        <v>26</v>
      </c>
      <c r="E66" s="218" t="s">
        <v>52</v>
      </c>
      <c r="F66" s="210" t="s">
        <v>28</v>
      </c>
      <c r="G66" s="210">
        <v>20</v>
      </c>
      <c r="H66" s="210" t="s">
        <v>29</v>
      </c>
      <c r="I66" s="221" t="s">
        <v>151</v>
      </c>
      <c r="J66" s="14" t="s">
        <v>30</v>
      </c>
      <c r="K66" s="26">
        <f>(((4.5*(0+192)%)+4.5)+((10.5*0%)+10.5))*16250</f>
        <v>384150</v>
      </c>
      <c r="L66" s="212">
        <f t="shared" si="0"/>
        <v>92196000</v>
      </c>
      <c r="M66" s="26">
        <f t="shared" si="3"/>
        <v>92196000</v>
      </c>
      <c r="N66" s="210">
        <v>1</v>
      </c>
    </row>
    <row r="67" spans="1:14" s="23" customFormat="1" ht="62.25" customHeight="1" x14ac:dyDescent="0.2">
      <c r="A67" s="209">
        <v>6</v>
      </c>
      <c r="B67" s="220">
        <v>5513</v>
      </c>
      <c r="C67" s="218" t="s">
        <v>34</v>
      </c>
      <c r="D67" s="218" t="s">
        <v>35</v>
      </c>
      <c r="E67" s="218" t="s">
        <v>52</v>
      </c>
      <c r="F67" s="210" t="s">
        <v>28</v>
      </c>
      <c r="G67" s="210">
        <v>20</v>
      </c>
      <c r="H67" s="210" t="s">
        <v>36</v>
      </c>
      <c r="I67" s="221" t="s">
        <v>151</v>
      </c>
      <c r="J67" s="14" t="s">
        <v>30</v>
      </c>
      <c r="K67" s="217">
        <f>((9.3*0%)+9.3)*16250</f>
        <v>151125</v>
      </c>
      <c r="L67" s="212">
        <f t="shared" si="0"/>
        <v>36270000</v>
      </c>
      <c r="M67" s="217">
        <f t="shared" si="3"/>
        <v>36270000</v>
      </c>
      <c r="N67" s="210">
        <v>1</v>
      </c>
    </row>
    <row r="68" spans="1:14" s="23" customFormat="1" ht="80.25" customHeight="1" x14ac:dyDescent="0.2">
      <c r="A68" s="209">
        <v>6</v>
      </c>
      <c r="B68" s="220">
        <v>5514</v>
      </c>
      <c r="C68" s="218" t="s">
        <v>25</v>
      </c>
      <c r="D68" s="218" t="s">
        <v>40</v>
      </c>
      <c r="E68" s="218" t="s">
        <v>52</v>
      </c>
      <c r="F68" s="210" t="s">
        <v>28</v>
      </c>
      <c r="G68" s="210">
        <v>20</v>
      </c>
      <c r="H68" s="210" t="s">
        <v>29</v>
      </c>
      <c r="I68" s="222" t="s">
        <v>259</v>
      </c>
      <c r="J68" s="14" t="s">
        <v>55</v>
      </c>
      <c r="K68" s="26">
        <f>(((4.5*(0+192)%)+4.5)+((10.5*(0+45)%)+10.5))*16250</f>
        <v>460931.25000000006</v>
      </c>
      <c r="L68" s="212">
        <f t="shared" si="0"/>
        <v>110623500.00000003</v>
      </c>
      <c r="M68" s="26">
        <f t="shared" si="3"/>
        <v>110623500.00000003</v>
      </c>
      <c r="N68" s="210">
        <v>1</v>
      </c>
    </row>
    <row r="69" spans="1:14" s="23" customFormat="1" ht="66" customHeight="1" x14ac:dyDescent="0.2">
      <c r="A69" s="209">
        <v>6</v>
      </c>
      <c r="B69" s="220">
        <v>5514</v>
      </c>
      <c r="C69" s="218" t="s">
        <v>34</v>
      </c>
      <c r="D69" s="218" t="s">
        <v>43</v>
      </c>
      <c r="E69" s="218" t="s">
        <v>52</v>
      </c>
      <c r="F69" s="210" t="s">
        <v>28</v>
      </c>
      <c r="G69" s="210">
        <v>20</v>
      </c>
      <c r="H69" s="210" t="s">
        <v>36</v>
      </c>
      <c r="I69" s="222" t="s">
        <v>259</v>
      </c>
      <c r="J69" s="14" t="s">
        <v>55</v>
      </c>
      <c r="K69" s="217">
        <f>((9.3*0%)+9.3)*16250</f>
        <v>151125</v>
      </c>
      <c r="L69" s="212">
        <f t="shared" ref="L69:L130" si="4">K69*G69*12</f>
        <v>36270000</v>
      </c>
      <c r="M69" s="217">
        <f t="shared" si="3"/>
        <v>36270000</v>
      </c>
      <c r="N69" s="210">
        <v>1</v>
      </c>
    </row>
    <row r="70" spans="1:14" s="23" customFormat="1" ht="78" customHeight="1" x14ac:dyDescent="0.2">
      <c r="A70" s="209">
        <v>6</v>
      </c>
      <c r="B70" s="220">
        <v>5514</v>
      </c>
      <c r="C70" s="218" t="s">
        <v>34</v>
      </c>
      <c r="D70" s="218" t="s">
        <v>75</v>
      </c>
      <c r="E70" s="218" t="s">
        <v>52</v>
      </c>
      <c r="F70" s="210" t="s">
        <v>28</v>
      </c>
      <c r="G70" s="210">
        <v>20</v>
      </c>
      <c r="H70" s="210" t="s">
        <v>36</v>
      </c>
      <c r="I70" s="222" t="s">
        <v>259</v>
      </c>
      <c r="J70" s="210" t="s">
        <v>55</v>
      </c>
      <c r="K70" s="217">
        <f>((9.3*0%)+9.3)*16250</f>
        <v>151125</v>
      </c>
      <c r="L70" s="212">
        <f t="shared" si="4"/>
        <v>36270000</v>
      </c>
      <c r="M70" s="217">
        <f t="shared" si="3"/>
        <v>36270000</v>
      </c>
      <c r="N70" s="210">
        <v>1</v>
      </c>
    </row>
    <row r="71" spans="1:14" s="23" customFormat="1" ht="62.25" customHeight="1" x14ac:dyDescent="0.2">
      <c r="A71" s="209">
        <v>6</v>
      </c>
      <c r="B71" s="220">
        <v>5515</v>
      </c>
      <c r="C71" s="218" t="s">
        <v>25</v>
      </c>
      <c r="D71" s="218" t="s">
        <v>26</v>
      </c>
      <c r="E71" s="218" t="s">
        <v>52</v>
      </c>
      <c r="F71" s="210" t="s">
        <v>28</v>
      </c>
      <c r="G71" s="210">
        <v>20</v>
      </c>
      <c r="H71" s="210" t="s">
        <v>29</v>
      </c>
      <c r="I71" s="221" t="s">
        <v>151</v>
      </c>
      <c r="J71" s="14" t="s">
        <v>32</v>
      </c>
      <c r="K71" s="26">
        <f>(((4.5*(0+192)%)+4.5)+((10.5*0%)+10.5))*16250</f>
        <v>384150</v>
      </c>
      <c r="L71" s="212">
        <f t="shared" si="4"/>
        <v>92196000</v>
      </c>
      <c r="M71" s="26">
        <f t="shared" si="3"/>
        <v>92196000</v>
      </c>
      <c r="N71" s="210">
        <v>1</v>
      </c>
    </row>
    <row r="72" spans="1:14" s="23" customFormat="1" ht="62.25" customHeight="1" x14ac:dyDescent="0.2">
      <c r="A72" s="209">
        <v>6</v>
      </c>
      <c r="B72" s="220">
        <v>5515</v>
      </c>
      <c r="C72" s="218" t="s">
        <v>34</v>
      </c>
      <c r="D72" s="218" t="s">
        <v>35</v>
      </c>
      <c r="E72" s="218" t="s">
        <v>52</v>
      </c>
      <c r="F72" s="210" t="s">
        <v>28</v>
      </c>
      <c r="G72" s="210">
        <v>20</v>
      </c>
      <c r="H72" s="210" t="s">
        <v>36</v>
      </c>
      <c r="I72" s="221" t="s">
        <v>151</v>
      </c>
      <c r="J72" s="14" t="s">
        <v>32</v>
      </c>
      <c r="K72" s="217">
        <f>((9.3*0%)+9.3)*16250</f>
        <v>151125</v>
      </c>
      <c r="L72" s="212">
        <f t="shared" si="4"/>
        <v>36270000</v>
      </c>
      <c r="M72" s="217">
        <f t="shared" si="3"/>
        <v>36270000</v>
      </c>
      <c r="N72" s="210">
        <v>1</v>
      </c>
    </row>
    <row r="73" spans="1:14" s="28" customFormat="1" ht="48.75" customHeight="1" x14ac:dyDescent="0.25">
      <c r="A73" s="209">
        <v>7</v>
      </c>
      <c r="B73" s="220">
        <v>5516</v>
      </c>
      <c r="C73" s="218" t="s">
        <v>25</v>
      </c>
      <c r="D73" s="218" t="s">
        <v>46</v>
      </c>
      <c r="E73" s="218" t="s">
        <v>76</v>
      </c>
      <c r="F73" s="210" t="s">
        <v>77</v>
      </c>
      <c r="G73" s="210">
        <v>20</v>
      </c>
      <c r="H73" s="210" t="s">
        <v>29</v>
      </c>
      <c r="I73" s="222" t="s">
        <v>148</v>
      </c>
      <c r="J73" s="210" t="s">
        <v>32</v>
      </c>
      <c r="K73" s="26">
        <f>(((4.5*(0+192+0)%)+4.5)+((10.5*(0+90)%)+10.5))*16250</f>
        <v>537712.5</v>
      </c>
      <c r="L73" s="212">
        <f t="shared" si="4"/>
        <v>129051000</v>
      </c>
      <c r="M73" s="26">
        <f t="shared" si="3"/>
        <v>129051000</v>
      </c>
      <c r="N73" s="210">
        <v>1</v>
      </c>
    </row>
    <row r="74" spans="1:14" s="28" customFormat="1" ht="42.75" customHeight="1" x14ac:dyDescent="0.25">
      <c r="A74" s="209">
        <v>7</v>
      </c>
      <c r="B74" s="220">
        <v>5516</v>
      </c>
      <c r="C74" s="218" t="s">
        <v>34</v>
      </c>
      <c r="D74" s="218" t="s">
        <v>35</v>
      </c>
      <c r="E74" s="218" t="s">
        <v>76</v>
      </c>
      <c r="F74" s="210" t="s">
        <v>77</v>
      </c>
      <c r="G74" s="210">
        <v>20</v>
      </c>
      <c r="H74" s="210" t="s">
        <v>36</v>
      </c>
      <c r="I74" s="222" t="s">
        <v>148</v>
      </c>
      <c r="J74" s="210" t="s">
        <v>32</v>
      </c>
      <c r="K74" s="217">
        <f>((9.3*0%)+9.3)*16250</f>
        <v>151125</v>
      </c>
      <c r="L74" s="212">
        <f t="shared" si="4"/>
        <v>36270000</v>
      </c>
      <c r="M74" s="26">
        <f t="shared" ref="M74:M96" si="5">L74*N74</f>
        <v>36270000</v>
      </c>
      <c r="N74" s="210">
        <v>1</v>
      </c>
    </row>
    <row r="75" spans="1:14" s="28" customFormat="1" ht="38.25" customHeight="1" x14ac:dyDescent="0.25">
      <c r="A75" s="209">
        <v>7</v>
      </c>
      <c r="B75" s="220">
        <v>5517</v>
      </c>
      <c r="C75" s="218" t="s">
        <v>25</v>
      </c>
      <c r="D75" s="218" t="s">
        <v>26</v>
      </c>
      <c r="E75" s="218" t="s">
        <v>79</v>
      </c>
      <c r="F75" s="210" t="s">
        <v>77</v>
      </c>
      <c r="G75" s="210">
        <v>20</v>
      </c>
      <c r="H75" s="210" t="s">
        <v>29</v>
      </c>
      <c r="I75" s="222" t="s">
        <v>265</v>
      </c>
      <c r="J75" s="210" t="s">
        <v>30</v>
      </c>
      <c r="K75" s="26">
        <f>(((4.5*(0+192)%)+4.5)+((10.5*0%)+10.5))*16250</f>
        <v>384150</v>
      </c>
      <c r="L75" s="212">
        <f t="shared" si="4"/>
        <v>92196000</v>
      </c>
      <c r="M75" s="26">
        <f t="shared" si="5"/>
        <v>92196000</v>
      </c>
      <c r="N75" s="210">
        <v>1</v>
      </c>
    </row>
    <row r="76" spans="1:14" s="28" customFormat="1" ht="38.25" customHeight="1" x14ac:dyDescent="0.25">
      <c r="A76" s="209">
        <v>7</v>
      </c>
      <c r="B76" s="220">
        <v>5517</v>
      </c>
      <c r="C76" s="218" t="s">
        <v>34</v>
      </c>
      <c r="D76" s="218" t="s">
        <v>35</v>
      </c>
      <c r="E76" s="218" t="s">
        <v>79</v>
      </c>
      <c r="F76" s="210" t="s">
        <v>77</v>
      </c>
      <c r="G76" s="210">
        <v>20</v>
      </c>
      <c r="H76" s="210" t="s">
        <v>36</v>
      </c>
      <c r="I76" s="222" t="s">
        <v>265</v>
      </c>
      <c r="J76" s="210" t="s">
        <v>30</v>
      </c>
      <c r="K76" s="217">
        <f>((9.3*0%)+9.3)*16250</f>
        <v>151125</v>
      </c>
      <c r="L76" s="212">
        <f t="shared" si="4"/>
        <v>36270000</v>
      </c>
      <c r="M76" s="26">
        <f t="shared" si="5"/>
        <v>36270000</v>
      </c>
      <c r="N76" s="210">
        <v>1</v>
      </c>
    </row>
    <row r="77" spans="1:14" s="28" customFormat="1" ht="25.5" x14ac:dyDescent="0.25">
      <c r="A77" s="209">
        <v>7</v>
      </c>
      <c r="B77" s="220">
        <v>5518</v>
      </c>
      <c r="C77" s="218" t="s">
        <v>25</v>
      </c>
      <c r="D77" s="218" t="s">
        <v>26</v>
      </c>
      <c r="E77" s="218" t="s">
        <v>83</v>
      </c>
      <c r="F77" s="210" t="s">
        <v>77</v>
      </c>
      <c r="G77" s="210">
        <v>20</v>
      </c>
      <c r="H77" s="210" t="s">
        <v>29</v>
      </c>
      <c r="I77" s="222" t="s">
        <v>152</v>
      </c>
      <c r="J77" s="210" t="s">
        <v>30</v>
      </c>
      <c r="K77" s="26">
        <f>(((4.5*(0+192)%)+4.5)+((10.5*0%)+10.5))*16250</f>
        <v>384150</v>
      </c>
      <c r="L77" s="212">
        <f t="shared" si="4"/>
        <v>92196000</v>
      </c>
      <c r="M77" s="26">
        <f t="shared" si="5"/>
        <v>92196000</v>
      </c>
      <c r="N77" s="210">
        <v>1</v>
      </c>
    </row>
    <row r="78" spans="1:14" s="28" customFormat="1" ht="25.5" x14ac:dyDescent="0.25">
      <c r="A78" s="209">
        <v>7</v>
      </c>
      <c r="B78" s="220">
        <v>5518</v>
      </c>
      <c r="C78" s="218" t="s">
        <v>34</v>
      </c>
      <c r="D78" s="218" t="s">
        <v>35</v>
      </c>
      <c r="E78" s="218" t="s">
        <v>83</v>
      </c>
      <c r="F78" s="210" t="s">
        <v>77</v>
      </c>
      <c r="G78" s="210">
        <v>20</v>
      </c>
      <c r="H78" s="210" t="s">
        <v>36</v>
      </c>
      <c r="I78" s="222" t="s">
        <v>152</v>
      </c>
      <c r="J78" s="210" t="s">
        <v>30</v>
      </c>
      <c r="K78" s="217">
        <f>((9.3*0%)+9.3)*16250</f>
        <v>151125</v>
      </c>
      <c r="L78" s="212">
        <f t="shared" si="4"/>
        <v>36270000</v>
      </c>
      <c r="M78" s="26">
        <f t="shared" si="5"/>
        <v>36270000</v>
      </c>
      <c r="N78" s="210">
        <v>1</v>
      </c>
    </row>
    <row r="79" spans="1:14" s="28" customFormat="1" ht="55.5" customHeight="1" x14ac:dyDescent="0.25">
      <c r="A79" s="223">
        <v>7</v>
      </c>
      <c r="B79" s="224">
        <v>5520</v>
      </c>
      <c r="C79" s="223" t="s">
        <v>25</v>
      </c>
      <c r="D79" s="223" t="s">
        <v>26</v>
      </c>
      <c r="E79" s="223" t="s">
        <v>81</v>
      </c>
      <c r="F79" s="224" t="s">
        <v>77</v>
      </c>
      <c r="G79" s="224">
        <v>20</v>
      </c>
      <c r="H79" s="224" t="s">
        <v>29</v>
      </c>
      <c r="I79" s="223" t="s">
        <v>152</v>
      </c>
      <c r="J79" s="224" t="s">
        <v>55</v>
      </c>
      <c r="K79" s="225">
        <f>(((4.5*(0+192)%)+4.5)+((10.5*0%)+10.5))*16250</f>
        <v>384150</v>
      </c>
      <c r="L79" s="226">
        <f t="shared" si="4"/>
        <v>92196000</v>
      </c>
      <c r="M79" s="225">
        <f t="shared" si="5"/>
        <v>92196000</v>
      </c>
      <c r="N79" s="224">
        <v>1</v>
      </c>
    </row>
    <row r="80" spans="1:14" s="28" customFormat="1" ht="42.75" customHeight="1" x14ac:dyDescent="0.25">
      <c r="A80" s="223">
        <v>7</v>
      </c>
      <c r="B80" s="224">
        <v>5520</v>
      </c>
      <c r="C80" s="223" t="s">
        <v>25</v>
      </c>
      <c r="D80" s="223" t="s">
        <v>35</v>
      </c>
      <c r="E80" s="223" t="s">
        <v>81</v>
      </c>
      <c r="F80" s="224" t="s">
        <v>77</v>
      </c>
      <c r="G80" s="224">
        <v>20</v>
      </c>
      <c r="H80" s="224" t="s">
        <v>29</v>
      </c>
      <c r="I80" s="223" t="s">
        <v>152</v>
      </c>
      <c r="J80" s="224" t="s">
        <v>55</v>
      </c>
      <c r="K80" s="227">
        <f>((9.3*0%)+9.3)*16250</f>
        <v>151125</v>
      </c>
      <c r="L80" s="225">
        <f t="shared" si="4"/>
        <v>36270000</v>
      </c>
      <c r="M80" s="225">
        <f t="shared" si="5"/>
        <v>36270000</v>
      </c>
      <c r="N80" s="224">
        <v>1</v>
      </c>
    </row>
    <row r="81" spans="1:14" s="28" customFormat="1" ht="53.25" customHeight="1" x14ac:dyDescent="0.25">
      <c r="A81" s="209">
        <v>7</v>
      </c>
      <c r="B81" s="220">
        <v>5521</v>
      </c>
      <c r="C81" s="218" t="s">
        <v>25</v>
      </c>
      <c r="D81" s="218" t="s">
        <v>26</v>
      </c>
      <c r="E81" s="218" t="s">
        <v>91</v>
      </c>
      <c r="F81" s="210" t="s">
        <v>77</v>
      </c>
      <c r="G81" s="210">
        <v>20</v>
      </c>
      <c r="H81" s="210" t="s">
        <v>29</v>
      </c>
      <c r="I81" s="222" t="s">
        <v>152</v>
      </c>
      <c r="J81" s="210" t="s">
        <v>32</v>
      </c>
      <c r="K81" s="26">
        <f>(((4.5*(0+192)%)+4.5)+((10.5*0%)+10.5))*16250</f>
        <v>384150</v>
      </c>
      <c r="L81" s="212">
        <f t="shared" si="4"/>
        <v>92196000</v>
      </c>
      <c r="M81" s="26">
        <f t="shared" si="5"/>
        <v>92196000</v>
      </c>
      <c r="N81" s="210">
        <v>1</v>
      </c>
    </row>
    <row r="82" spans="1:14" s="28" customFormat="1" ht="38.25" customHeight="1" x14ac:dyDescent="0.25">
      <c r="A82" s="209">
        <v>7</v>
      </c>
      <c r="B82" s="220">
        <v>5521</v>
      </c>
      <c r="C82" s="218" t="s">
        <v>34</v>
      </c>
      <c r="D82" s="218" t="s">
        <v>35</v>
      </c>
      <c r="E82" s="218" t="s">
        <v>91</v>
      </c>
      <c r="F82" s="210" t="s">
        <v>77</v>
      </c>
      <c r="G82" s="210">
        <v>20</v>
      </c>
      <c r="H82" s="210" t="s">
        <v>36</v>
      </c>
      <c r="I82" s="222" t="s">
        <v>152</v>
      </c>
      <c r="J82" s="210" t="s">
        <v>32</v>
      </c>
      <c r="K82" s="217">
        <f>((9.3*0%)+9.3)*16250</f>
        <v>151125</v>
      </c>
      <c r="L82" s="212">
        <f t="shared" si="4"/>
        <v>36270000</v>
      </c>
      <c r="M82" s="26">
        <f t="shared" si="5"/>
        <v>36270000</v>
      </c>
      <c r="N82" s="210">
        <v>1</v>
      </c>
    </row>
    <row r="83" spans="1:14" s="28" customFormat="1" ht="38.25" x14ac:dyDescent="0.25">
      <c r="A83" s="223">
        <v>7</v>
      </c>
      <c r="B83" s="224">
        <v>5522</v>
      </c>
      <c r="C83" s="223" t="s">
        <v>25</v>
      </c>
      <c r="D83" s="223" t="s">
        <v>26</v>
      </c>
      <c r="E83" s="223" t="s">
        <v>93</v>
      </c>
      <c r="F83" s="228" t="s">
        <v>306</v>
      </c>
      <c r="G83" s="224">
        <v>20</v>
      </c>
      <c r="H83" s="224" t="s">
        <v>29</v>
      </c>
      <c r="I83" s="223" t="s">
        <v>152</v>
      </c>
      <c r="J83" s="224" t="s">
        <v>55</v>
      </c>
      <c r="K83" s="225">
        <f>(((4.5*(0+192)%)+4.5)+((10.5*0%)+10.5))*16250</f>
        <v>384150</v>
      </c>
      <c r="L83" s="226">
        <f t="shared" si="4"/>
        <v>92196000</v>
      </c>
      <c r="M83" s="225">
        <f t="shared" si="5"/>
        <v>92196000</v>
      </c>
      <c r="N83" s="224">
        <v>1</v>
      </c>
    </row>
    <row r="84" spans="1:14" s="28" customFormat="1" ht="38.25" x14ac:dyDescent="0.25">
      <c r="A84" s="223">
        <v>7</v>
      </c>
      <c r="B84" s="224">
        <v>5522</v>
      </c>
      <c r="C84" s="223" t="s">
        <v>25</v>
      </c>
      <c r="D84" s="223" t="s">
        <v>35</v>
      </c>
      <c r="E84" s="229" t="s">
        <v>93</v>
      </c>
      <c r="F84" s="228" t="s">
        <v>306</v>
      </c>
      <c r="G84" s="230">
        <v>20</v>
      </c>
      <c r="H84" s="224" t="s">
        <v>29</v>
      </c>
      <c r="I84" s="223" t="s">
        <v>152</v>
      </c>
      <c r="J84" s="224" t="s">
        <v>55</v>
      </c>
      <c r="K84" s="227">
        <f>((9.3*0%)+9.3)*16250</f>
        <v>151125</v>
      </c>
      <c r="L84" s="225">
        <f t="shared" si="4"/>
        <v>36270000</v>
      </c>
      <c r="M84" s="225">
        <f t="shared" si="5"/>
        <v>36270000</v>
      </c>
      <c r="N84" s="224">
        <v>1</v>
      </c>
    </row>
    <row r="85" spans="1:14" s="28" customFormat="1" ht="44.25" customHeight="1" x14ac:dyDescent="0.25">
      <c r="A85" s="209">
        <v>7</v>
      </c>
      <c r="B85" s="220">
        <v>5523</v>
      </c>
      <c r="C85" s="218" t="s">
        <v>25</v>
      </c>
      <c r="D85" s="218" t="s">
        <v>26</v>
      </c>
      <c r="E85" s="218" t="s">
        <v>95</v>
      </c>
      <c r="F85" s="210" t="s">
        <v>77</v>
      </c>
      <c r="G85" s="210">
        <v>20</v>
      </c>
      <c r="H85" s="210" t="s">
        <v>29</v>
      </c>
      <c r="I85" s="221" t="s">
        <v>151</v>
      </c>
      <c r="J85" s="210" t="s">
        <v>55</v>
      </c>
      <c r="K85" s="26">
        <f>(((4.5*(0+192)%)+4.5)+((10.5*0%)+10.5))*16250</f>
        <v>384150</v>
      </c>
      <c r="L85" s="212">
        <f t="shared" si="4"/>
        <v>92196000</v>
      </c>
      <c r="M85" s="26">
        <f t="shared" si="5"/>
        <v>92196000</v>
      </c>
      <c r="N85" s="210">
        <v>1</v>
      </c>
    </row>
    <row r="86" spans="1:14" s="28" customFormat="1" ht="55.5" customHeight="1" x14ac:dyDescent="0.25">
      <c r="A86" s="209">
        <v>7</v>
      </c>
      <c r="B86" s="220">
        <v>5523</v>
      </c>
      <c r="C86" s="218" t="s">
        <v>34</v>
      </c>
      <c r="D86" s="218" t="s">
        <v>35</v>
      </c>
      <c r="E86" s="218" t="s">
        <v>95</v>
      </c>
      <c r="F86" s="210" t="s">
        <v>77</v>
      </c>
      <c r="G86" s="210">
        <v>20</v>
      </c>
      <c r="H86" s="210" t="s">
        <v>36</v>
      </c>
      <c r="I86" s="221" t="s">
        <v>151</v>
      </c>
      <c r="J86" s="210" t="s">
        <v>55</v>
      </c>
      <c r="K86" s="217">
        <f>((9.3*0%)+9.3)*16250</f>
        <v>151125</v>
      </c>
      <c r="L86" s="212">
        <f t="shared" si="4"/>
        <v>36270000</v>
      </c>
      <c r="M86" s="26">
        <f t="shared" si="5"/>
        <v>36270000</v>
      </c>
      <c r="N86" s="210">
        <v>1</v>
      </c>
    </row>
    <row r="87" spans="1:14" s="28" customFormat="1" ht="50.25" customHeight="1" x14ac:dyDescent="0.25">
      <c r="A87" s="209">
        <v>7</v>
      </c>
      <c r="B87" s="220">
        <v>5524</v>
      </c>
      <c r="C87" s="218" t="s">
        <v>25</v>
      </c>
      <c r="D87" s="218" t="s">
        <v>46</v>
      </c>
      <c r="E87" s="218" t="s">
        <v>76</v>
      </c>
      <c r="F87" s="210" t="s">
        <v>77</v>
      </c>
      <c r="G87" s="210">
        <v>20</v>
      </c>
      <c r="H87" s="210" t="s">
        <v>29</v>
      </c>
      <c r="I87" s="222" t="s">
        <v>148</v>
      </c>
      <c r="J87" s="210" t="s">
        <v>32</v>
      </c>
      <c r="K87" s="26">
        <f>(((4.5*(0+192+0)%)+4.5)+((10.5*(0+90)%)+10.5))*16250</f>
        <v>537712.5</v>
      </c>
      <c r="L87" s="212">
        <f t="shared" si="4"/>
        <v>129051000</v>
      </c>
      <c r="M87" s="26">
        <f t="shared" si="5"/>
        <v>129051000</v>
      </c>
      <c r="N87" s="210">
        <v>1</v>
      </c>
    </row>
    <row r="88" spans="1:14" s="28" customFormat="1" ht="44.25" customHeight="1" x14ac:dyDescent="0.25">
      <c r="A88" s="209">
        <v>7</v>
      </c>
      <c r="B88" s="220">
        <v>5524</v>
      </c>
      <c r="C88" s="218" t="s">
        <v>34</v>
      </c>
      <c r="D88" s="218" t="s">
        <v>35</v>
      </c>
      <c r="E88" s="218" t="s">
        <v>76</v>
      </c>
      <c r="F88" s="210" t="s">
        <v>77</v>
      </c>
      <c r="G88" s="210">
        <v>20</v>
      </c>
      <c r="H88" s="210" t="s">
        <v>36</v>
      </c>
      <c r="I88" s="222" t="s">
        <v>148</v>
      </c>
      <c r="J88" s="210" t="s">
        <v>32</v>
      </c>
      <c r="K88" s="217">
        <f>((9.3*0%)+9.3)*16250</f>
        <v>151125</v>
      </c>
      <c r="L88" s="212">
        <f t="shared" si="4"/>
        <v>36270000</v>
      </c>
      <c r="M88" s="26">
        <f t="shared" si="5"/>
        <v>36270000</v>
      </c>
      <c r="N88" s="210">
        <v>1</v>
      </c>
    </row>
    <row r="89" spans="1:14" s="28" customFormat="1" ht="54.75" customHeight="1" x14ac:dyDescent="0.25">
      <c r="A89" s="209">
        <v>7</v>
      </c>
      <c r="B89" s="220">
        <v>5525</v>
      </c>
      <c r="C89" s="218" t="s">
        <v>25</v>
      </c>
      <c r="D89" s="218" t="s">
        <v>26</v>
      </c>
      <c r="E89" s="218" t="s">
        <v>91</v>
      </c>
      <c r="F89" s="210" t="s">
        <v>77</v>
      </c>
      <c r="G89" s="210">
        <v>12</v>
      </c>
      <c r="H89" s="210" t="s">
        <v>29</v>
      </c>
      <c r="I89" s="221" t="s">
        <v>150</v>
      </c>
      <c r="J89" s="210" t="s">
        <v>30</v>
      </c>
      <c r="K89" s="26">
        <f>(((4.5*(0+192)%)+4.5)+((10.5*0%)+10.5))*16250</f>
        <v>384150</v>
      </c>
      <c r="L89" s="212">
        <f t="shared" si="4"/>
        <v>55317600</v>
      </c>
      <c r="M89" s="26">
        <f t="shared" si="5"/>
        <v>55317600</v>
      </c>
      <c r="N89" s="210">
        <v>1</v>
      </c>
    </row>
    <row r="90" spans="1:14" s="28" customFormat="1" ht="42.75" customHeight="1" x14ac:dyDescent="0.25">
      <c r="A90" s="209">
        <v>7</v>
      </c>
      <c r="B90" s="220">
        <v>5525</v>
      </c>
      <c r="C90" s="218" t="s">
        <v>34</v>
      </c>
      <c r="D90" s="218" t="s">
        <v>35</v>
      </c>
      <c r="E90" s="218" t="s">
        <v>91</v>
      </c>
      <c r="F90" s="210" t="s">
        <v>77</v>
      </c>
      <c r="G90" s="210">
        <v>12</v>
      </c>
      <c r="H90" s="210" t="s">
        <v>36</v>
      </c>
      <c r="I90" s="221" t="s">
        <v>150</v>
      </c>
      <c r="J90" s="210" t="s">
        <v>30</v>
      </c>
      <c r="K90" s="217">
        <f>((9.3*0%)+9.3)*16250</f>
        <v>151125</v>
      </c>
      <c r="L90" s="212">
        <f t="shared" si="4"/>
        <v>21762000</v>
      </c>
      <c r="M90" s="26">
        <f t="shared" si="5"/>
        <v>21762000</v>
      </c>
      <c r="N90" s="210">
        <v>1</v>
      </c>
    </row>
    <row r="91" spans="1:14" s="28" customFormat="1" ht="57.75" customHeight="1" x14ac:dyDescent="0.25">
      <c r="A91" s="209">
        <v>8</v>
      </c>
      <c r="B91" s="220">
        <v>5526</v>
      </c>
      <c r="C91" s="218" t="s">
        <v>25</v>
      </c>
      <c r="D91" s="218" t="s">
        <v>26</v>
      </c>
      <c r="E91" s="218" t="s">
        <v>101</v>
      </c>
      <c r="F91" s="210" t="s">
        <v>28</v>
      </c>
      <c r="G91" s="210">
        <v>20</v>
      </c>
      <c r="H91" s="210" t="s">
        <v>29</v>
      </c>
      <c r="I91" s="222" t="s">
        <v>152</v>
      </c>
      <c r="J91" s="210" t="s">
        <v>30</v>
      </c>
      <c r="K91" s="26">
        <f>(((4.5*(14+192)%)+4.5)+((10.5*14%)+10.5))*16250</f>
        <v>418275.00000000006</v>
      </c>
      <c r="L91" s="212">
        <f t="shared" si="4"/>
        <v>100386000.00000001</v>
      </c>
      <c r="M91" s="26">
        <f t="shared" si="5"/>
        <v>100386000.00000001</v>
      </c>
      <c r="N91" s="210">
        <v>1</v>
      </c>
    </row>
    <row r="92" spans="1:14" s="28" customFormat="1" ht="62.25" customHeight="1" x14ac:dyDescent="0.25">
      <c r="A92" s="209">
        <v>8</v>
      </c>
      <c r="B92" s="220">
        <v>5526</v>
      </c>
      <c r="C92" s="218" t="s">
        <v>34</v>
      </c>
      <c r="D92" s="218" t="s">
        <v>35</v>
      </c>
      <c r="E92" s="218" t="s">
        <v>101</v>
      </c>
      <c r="F92" s="210" t="s">
        <v>28</v>
      </c>
      <c r="G92" s="210">
        <v>20</v>
      </c>
      <c r="H92" s="210" t="s">
        <v>36</v>
      </c>
      <c r="I92" s="222" t="s">
        <v>152</v>
      </c>
      <c r="J92" s="210" t="s">
        <v>30</v>
      </c>
      <c r="K92" s="217">
        <f>((9.3*14%)+9.3)*16250</f>
        <v>172282.5</v>
      </c>
      <c r="L92" s="212">
        <f t="shared" si="4"/>
        <v>41347800</v>
      </c>
      <c r="M92" s="26">
        <f t="shared" si="5"/>
        <v>41347800</v>
      </c>
      <c r="N92" s="210">
        <v>1</v>
      </c>
    </row>
    <row r="93" spans="1:14" s="23" customFormat="1" ht="53.25" customHeight="1" x14ac:dyDescent="0.2">
      <c r="A93" s="209">
        <v>8</v>
      </c>
      <c r="B93" s="220">
        <v>5527</v>
      </c>
      <c r="C93" s="218" t="s">
        <v>25</v>
      </c>
      <c r="D93" s="218" t="s">
        <v>26</v>
      </c>
      <c r="E93" s="218" t="s">
        <v>102</v>
      </c>
      <c r="F93" s="210" t="s">
        <v>28</v>
      </c>
      <c r="G93" s="210">
        <v>15</v>
      </c>
      <c r="H93" s="210" t="s">
        <v>29</v>
      </c>
      <c r="I93" s="222" t="s">
        <v>152</v>
      </c>
      <c r="J93" s="210" t="s">
        <v>32</v>
      </c>
      <c r="K93" s="26">
        <f>(((4.5*(28+192+0)%)+4.5)+((10.5*28%)+10.5))*16250</f>
        <v>452400.00000000006</v>
      </c>
      <c r="L93" s="212">
        <f t="shared" si="4"/>
        <v>81432000.000000015</v>
      </c>
      <c r="M93" s="26">
        <f t="shared" si="5"/>
        <v>81432000.000000015</v>
      </c>
      <c r="N93" s="210">
        <v>1</v>
      </c>
    </row>
    <row r="94" spans="1:14" s="23" customFormat="1" ht="42.75" customHeight="1" x14ac:dyDescent="0.2">
      <c r="A94" s="209">
        <v>8</v>
      </c>
      <c r="B94" s="220">
        <v>5527</v>
      </c>
      <c r="C94" s="218" t="s">
        <v>34</v>
      </c>
      <c r="D94" s="218" t="s">
        <v>35</v>
      </c>
      <c r="E94" s="218" t="s">
        <v>102</v>
      </c>
      <c r="F94" s="210" t="s">
        <v>28</v>
      </c>
      <c r="G94" s="210">
        <v>15</v>
      </c>
      <c r="H94" s="210" t="s">
        <v>36</v>
      </c>
      <c r="I94" s="222" t="s">
        <v>152</v>
      </c>
      <c r="J94" s="210" t="s">
        <v>32</v>
      </c>
      <c r="K94" s="217">
        <f>((9.3*28%)+9.3)*16250</f>
        <v>193440.00000000003</v>
      </c>
      <c r="L94" s="212">
        <f t="shared" si="4"/>
        <v>34819200.000000007</v>
      </c>
      <c r="M94" s="26">
        <f t="shared" si="5"/>
        <v>34819200.000000007</v>
      </c>
      <c r="N94" s="210">
        <v>1</v>
      </c>
    </row>
    <row r="95" spans="1:14" s="23" customFormat="1" ht="70.5" customHeight="1" x14ac:dyDescent="0.2">
      <c r="A95" s="209">
        <v>8</v>
      </c>
      <c r="B95" s="220">
        <v>5528</v>
      </c>
      <c r="C95" s="218" t="s">
        <v>25</v>
      </c>
      <c r="D95" s="218" t="s">
        <v>26</v>
      </c>
      <c r="E95" s="218" t="s">
        <v>101</v>
      </c>
      <c r="F95" s="210" t="s">
        <v>28</v>
      </c>
      <c r="G95" s="210">
        <v>15</v>
      </c>
      <c r="H95" s="210" t="s">
        <v>29</v>
      </c>
      <c r="I95" s="222" t="s">
        <v>152</v>
      </c>
      <c r="J95" s="210" t="s">
        <v>30</v>
      </c>
      <c r="K95" s="26">
        <f>(((4.5*(14+192)%)+4.5)+((10.5*14%)+10.5))*16250</f>
        <v>418275.00000000006</v>
      </c>
      <c r="L95" s="212">
        <f t="shared" si="4"/>
        <v>75289500.000000015</v>
      </c>
      <c r="M95" s="26">
        <f t="shared" si="5"/>
        <v>75289500.000000015</v>
      </c>
      <c r="N95" s="210">
        <v>1</v>
      </c>
    </row>
    <row r="96" spans="1:14" s="23" customFormat="1" ht="54.75" customHeight="1" x14ac:dyDescent="0.2">
      <c r="A96" s="209">
        <v>8</v>
      </c>
      <c r="B96" s="220">
        <v>5528</v>
      </c>
      <c r="C96" s="218" t="s">
        <v>34</v>
      </c>
      <c r="D96" s="218" t="s">
        <v>35</v>
      </c>
      <c r="E96" s="218" t="s">
        <v>101</v>
      </c>
      <c r="F96" s="210" t="s">
        <v>28</v>
      </c>
      <c r="G96" s="210">
        <v>15</v>
      </c>
      <c r="H96" s="210" t="s">
        <v>36</v>
      </c>
      <c r="I96" s="222" t="s">
        <v>152</v>
      </c>
      <c r="J96" s="210" t="s">
        <v>30</v>
      </c>
      <c r="K96" s="217">
        <f>((9.3*14%)+9.3)*16250</f>
        <v>172282.5</v>
      </c>
      <c r="L96" s="212">
        <f t="shared" si="4"/>
        <v>31010850</v>
      </c>
      <c r="M96" s="26">
        <f t="shared" si="5"/>
        <v>31010850</v>
      </c>
      <c r="N96" s="210">
        <v>1</v>
      </c>
    </row>
    <row r="97" spans="1:14" s="23" customFormat="1" ht="48.75" customHeight="1" x14ac:dyDescent="0.2">
      <c r="A97" s="209">
        <v>8</v>
      </c>
      <c r="B97" s="220">
        <v>5529</v>
      </c>
      <c r="C97" s="218" t="s">
        <v>25</v>
      </c>
      <c r="D97" s="218" t="s">
        <v>26</v>
      </c>
      <c r="E97" s="218" t="s">
        <v>106</v>
      </c>
      <c r="F97" s="220" t="s">
        <v>28</v>
      </c>
      <c r="G97" s="220">
        <v>25</v>
      </c>
      <c r="H97" s="220" t="s">
        <v>29</v>
      </c>
      <c r="I97" s="221" t="s">
        <v>151</v>
      </c>
      <c r="J97" s="220" t="s">
        <v>32</v>
      </c>
      <c r="K97" s="217">
        <f>(((4.5*(14+192)%)+4.5)+((10.5*14%)+10.5))*16250</f>
        <v>418275.00000000006</v>
      </c>
      <c r="L97" s="212">
        <f t="shared" si="4"/>
        <v>125482500.00000003</v>
      </c>
      <c r="M97" s="217">
        <f>L97*N97</f>
        <v>125482500.00000003</v>
      </c>
      <c r="N97" s="220">
        <v>1</v>
      </c>
    </row>
    <row r="98" spans="1:14" s="23" customFormat="1" ht="54.75" customHeight="1" x14ac:dyDescent="0.2">
      <c r="A98" s="209">
        <v>8</v>
      </c>
      <c r="B98" s="220">
        <v>5529</v>
      </c>
      <c r="C98" s="218" t="s">
        <v>34</v>
      </c>
      <c r="D98" s="218" t="s">
        <v>35</v>
      </c>
      <c r="E98" s="218" t="s">
        <v>106</v>
      </c>
      <c r="F98" s="210" t="s">
        <v>28</v>
      </c>
      <c r="G98" s="210">
        <v>25</v>
      </c>
      <c r="H98" s="210" t="s">
        <v>36</v>
      </c>
      <c r="I98" s="221" t="s">
        <v>151</v>
      </c>
      <c r="J98" s="210" t="s">
        <v>32</v>
      </c>
      <c r="K98" s="217">
        <f>((9.3*14%)+9.3)*16250</f>
        <v>172282.5</v>
      </c>
      <c r="L98" s="212">
        <f t="shared" si="4"/>
        <v>51684750</v>
      </c>
      <c r="M98" s="26">
        <f t="shared" ref="M98:M109" si="6">L98*N98</f>
        <v>51684750</v>
      </c>
      <c r="N98" s="210">
        <v>1</v>
      </c>
    </row>
    <row r="99" spans="1:14" s="23" customFormat="1" ht="58.5" customHeight="1" x14ac:dyDescent="0.2">
      <c r="A99" s="218">
        <v>8</v>
      </c>
      <c r="B99" s="220">
        <v>5530</v>
      </c>
      <c r="C99" s="218" t="s">
        <v>25</v>
      </c>
      <c r="D99" s="218" t="s">
        <v>26</v>
      </c>
      <c r="E99" s="218" t="s">
        <v>113</v>
      </c>
      <c r="F99" s="220" t="s">
        <v>28</v>
      </c>
      <c r="G99" s="220">
        <v>15</v>
      </c>
      <c r="H99" s="220" t="s">
        <v>29</v>
      </c>
      <c r="I99" s="222" t="s">
        <v>152</v>
      </c>
      <c r="J99" s="220" t="s">
        <v>55</v>
      </c>
      <c r="K99" s="26">
        <f>(((4.5*(14+192)%)+4.5)+((10.5*14%)+10.5))*16250</f>
        <v>418275.00000000006</v>
      </c>
      <c r="L99" s="212">
        <f t="shared" si="4"/>
        <v>75289500.000000015</v>
      </c>
      <c r="M99" s="26">
        <f t="shared" si="6"/>
        <v>75289500.000000015</v>
      </c>
      <c r="N99" s="220">
        <v>1</v>
      </c>
    </row>
    <row r="100" spans="1:14" s="23" customFormat="1" ht="25.5" x14ac:dyDescent="0.2">
      <c r="A100" s="218">
        <v>8</v>
      </c>
      <c r="B100" s="220">
        <v>5530</v>
      </c>
      <c r="C100" s="218" t="s">
        <v>34</v>
      </c>
      <c r="D100" s="218" t="s">
        <v>35</v>
      </c>
      <c r="E100" s="218" t="s">
        <v>113</v>
      </c>
      <c r="F100" s="220" t="s">
        <v>28</v>
      </c>
      <c r="G100" s="220">
        <v>15</v>
      </c>
      <c r="H100" s="220" t="s">
        <v>36</v>
      </c>
      <c r="I100" s="222" t="s">
        <v>152</v>
      </c>
      <c r="J100" s="220" t="s">
        <v>55</v>
      </c>
      <c r="K100" s="217">
        <f>((9.3*14%)+9.3)*16250</f>
        <v>172282.5</v>
      </c>
      <c r="L100" s="212">
        <f t="shared" si="4"/>
        <v>31010850</v>
      </c>
      <c r="M100" s="217">
        <f t="shared" si="6"/>
        <v>31010850</v>
      </c>
      <c r="N100" s="220">
        <v>1</v>
      </c>
    </row>
    <row r="101" spans="1:14" s="23" customFormat="1" ht="41.45" customHeight="1" x14ac:dyDescent="0.2">
      <c r="A101" s="209">
        <v>8</v>
      </c>
      <c r="B101" s="220">
        <v>5531</v>
      </c>
      <c r="C101" s="218" t="s">
        <v>25</v>
      </c>
      <c r="D101" s="218" t="s">
        <v>26</v>
      </c>
      <c r="E101" s="218" t="s">
        <v>115</v>
      </c>
      <c r="F101" s="210" t="s">
        <v>28</v>
      </c>
      <c r="G101" s="210">
        <v>20</v>
      </c>
      <c r="H101" s="210" t="s">
        <v>29</v>
      </c>
      <c r="I101" s="221" t="s">
        <v>150</v>
      </c>
      <c r="J101" s="210" t="s">
        <v>55</v>
      </c>
      <c r="K101" s="26">
        <f>(((4.5*(14+192)%)+4.5)+((10.5*14%)+10.5))*16250</f>
        <v>418275.00000000006</v>
      </c>
      <c r="L101" s="212">
        <f t="shared" si="4"/>
        <v>100386000.00000001</v>
      </c>
      <c r="M101" s="217">
        <f t="shared" si="6"/>
        <v>100386000.00000001</v>
      </c>
      <c r="N101" s="210">
        <v>1</v>
      </c>
    </row>
    <row r="102" spans="1:14" s="23" customFormat="1" ht="37.5" customHeight="1" x14ac:dyDescent="0.2">
      <c r="A102" s="209">
        <v>8</v>
      </c>
      <c r="B102" s="220">
        <v>5531</v>
      </c>
      <c r="C102" s="218" t="s">
        <v>34</v>
      </c>
      <c r="D102" s="218" t="s">
        <v>35</v>
      </c>
      <c r="E102" s="218" t="s">
        <v>115</v>
      </c>
      <c r="F102" s="210" t="s">
        <v>28</v>
      </c>
      <c r="G102" s="210">
        <v>20</v>
      </c>
      <c r="H102" s="210" t="s">
        <v>36</v>
      </c>
      <c r="I102" s="221" t="s">
        <v>150</v>
      </c>
      <c r="J102" s="210" t="s">
        <v>55</v>
      </c>
      <c r="K102" s="217">
        <f>((9.3*14%)+9.3)*16250</f>
        <v>172282.5</v>
      </c>
      <c r="L102" s="212">
        <f t="shared" si="4"/>
        <v>41347800</v>
      </c>
      <c r="M102" s="217">
        <f t="shared" si="6"/>
        <v>41347800</v>
      </c>
      <c r="N102" s="210">
        <v>1</v>
      </c>
    </row>
    <row r="103" spans="1:14" s="23" customFormat="1" ht="47.25" customHeight="1" x14ac:dyDescent="0.2">
      <c r="A103" s="209">
        <v>8</v>
      </c>
      <c r="B103" s="220">
        <v>5532</v>
      </c>
      <c r="C103" s="218" t="s">
        <v>25</v>
      </c>
      <c r="D103" s="218" t="s">
        <v>26</v>
      </c>
      <c r="E103" s="218" t="s">
        <v>117</v>
      </c>
      <c r="F103" s="210" t="s">
        <v>28</v>
      </c>
      <c r="G103" s="210">
        <v>35</v>
      </c>
      <c r="H103" s="210" t="s">
        <v>29</v>
      </c>
      <c r="I103" s="221" t="s">
        <v>151</v>
      </c>
      <c r="J103" s="210" t="s">
        <v>32</v>
      </c>
      <c r="K103" s="26">
        <f>(((4.5*(14+178)%)+4.5)+((10.5*14%)+10.5))*16250</f>
        <v>408037.5</v>
      </c>
      <c r="L103" s="212">
        <f t="shared" si="4"/>
        <v>171375750</v>
      </c>
      <c r="M103" s="26">
        <f t="shared" si="6"/>
        <v>171375750</v>
      </c>
      <c r="N103" s="210">
        <v>1</v>
      </c>
    </row>
    <row r="104" spans="1:14" s="23" customFormat="1" ht="45.75" customHeight="1" x14ac:dyDescent="0.2">
      <c r="A104" s="209">
        <v>8</v>
      </c>
      <c r="B104" s="220">
        <v>5532</v>
      </c>
      <c r="C104" s="218" t="s">
        <v>34</v>
      </c>
      <c r="D104" s="218" t="s">
        <v>35</v>
      </c>
      <c r="E104" s="218" t="s">
        <v>117</v>
      </c>
      <c r="F104" s="210" t="s">
        <v>28</v>
      </c>
      <c r="G104" s="210">
        <v>35</v>
      </c>
      <c r="H104" s="210" t="s">
        <v>36</v>
      </c>
      <c r="I104" s="221" t="s">
        <v>151</v>
      </c>
      <c r="J104" s="210" t="s">
        <v>32</v>
      </c>
      <c r="K104" s="217">
        <f>((9.3*14%)+9.3)*16250</f>
        <v>172282.5</v>
      </c>
      <c r="L104" s="212">
        <f t="shared" si="4"/>
        <v>72358650</v>
      </c>
      <c r="M104" s="217">
        <f t="shared" si="6"/>
        <v>72358650</v>
      </c>
      <c r="N104" s="210">
        <v>1</v>
      </c>
    </row>
    <row r="105" spans="1:14" s="20" customFormat="1" ht="44.25" customHeight="1" x14ac:dyDescent="0.2">
      <c r="A105" s="209">
        <v>8</v>
      </c>
      <c r="B105" s="220">
        <v>5533</v>
      </c>
      <c r="C105" s="218" t="s">
        <v>25</v>
      </c>
      <c r="D105" s="218" t="s">
        <v>46</v>
      </c>
      <c r="E105" s="219" t="s">
        <v>115</v>
      </c>
      <c r="F105" s="210" t="s">
        <v>28</v>
      </c>
      <c r="G105" s="210">
        <v>15</v>
      </c>
      <c r="H105" s="210" t="s">
        <v>29</v>
      </c>
      <c r="I105" s="222" t="s">
        <v>148</v>
      </c>
      <c r="J105" s="210" t="s">
        <v>32</v>
      </c>
      <c r="K105" s="26">
        <f>(((4.5*(14+192)%)+4.5)+((10.5*14%)+10.5))*16250</f>
        <v>418275.00000000006</v>
      </c>
      <c r="L105" s="212">
        <f t="shared" si="4"/>
        <v>75289500.000000015</v>
      </c>
      <c r="M105" s="217">
        <f t="shared" si="6"/>
        <v>75289500.000000015</v>
      </c>
      <c r="N105" s="210">
        <v>1</v>
      </c>
    </row>
    <row r="106" spans="1:14" s="20" customFormat="1" ht="37.5" customHeight="1" x14ac:dyDescent="0.2">
      <c r="A106" s="209">
        <v>8</v>
      </c>
      <c r="B106" s="220">
        <v>5533</v>
      </c>
      <c r="C106" s="218" t="s">
        <v>34</v>
      </c>
      <c r="D106" s="218" t="s">
        <v>35</v>
      </c>
      <c r="E106" s="219" t="s">
        <v>115</v>
      </c>
      <c r="F106" s="210" t="s">
        <v>28</v>
      </c>
      <c r="G106" s="210">
        <v>15</v>
      </c>
      <c r="H106" s="210" t="s">
        <v>36</v>
      </c>
      <c r="I106" s="222" t="s">
        <v>148</v>
      </c>
      <c r="J106" s="210" t="s">
        <v>32</v>
      </c>
      <c r="K106" s="217">
        <f>((9.3*14%)+9.3)*16250</f>
        <v>172282.5</v>
      </c>
      <c r="L106" s="212">
        <f t="shared" si="4"/>
        <v>31010850</v>
      </c>
      <c r="M106" s="217">
        <f t="shared" si="6"/>
        <v>31010850</v>
      </c>
      <c r="N106" s="210">
        <v>1</v>
      </c>
    </row>
    <row r="107" spans="1:14" s="20" customFormat="1" ht="54" customHeight="1" x14ac:dyDescent="0.2">
      <c r="A107" s="209">
        <v>9</v>
      </c>
      <c r="B107" s="220">
        <v>5534</v>
      </c>
      <c r="C107" s="218" t="s">
        <v>25</v>
      </c>
      <c r="D107" s="218" t="s">
        <v>26</v>
      </c>
      <c r="E107" s="218" t="s">
        <v>159</v>
      </c>
      <c r="F107" s="210" t="s">
        <v>28</v>
      </c>
      <c r="G107" s="210">
        <v>30</v>
      </c>
      <c r="H107" s="210" t="s">
        <v>29</v>
      </c>
      <c r="I107" s="222" t="s">
        <v>152</v>
      </c>
      <c r="J107" s="210" t="s">
        <v>30</v>
      </c>
      <c r="K107" s="26">
        <f>(((4.5*(14+178)%)+4.5)+((10.5*14%)+10.5))*16250</f>
        <v>408037.5</v>
      </c>
      <c r="L107" s="212">
        <f t="shared" si="4"/>
        <v>146893500</v>
      </c>
      <c r="M107" s="217">
        <f t="shared" si="6"/>
        <v>146893500</v>
      </c>
      <c r="N107" s="210">
        <v>1</v>
      </c>
    </row>
    <row r="108" spans="1:14" s="20" customFormat="1" ht="44.25" customHeight="1" x14ac:dyDescent="0.2">
      <c r="A108" s="209">
        <v>9</v>
      </c>
      <c r="B108" s="220">
        <v>5534</v>
      </c>
      <c r="C108" s="218" t="s">
        <v>34</v>
      </c>
      <c r="D108" s="218" t="s">
        <v>35</v>
      </c>
      <c r="E108" s="218" t="s">
        <v>159</v>
      </c>
      <c r="F108" s="210" t="s">
        <v>28</v>
      </c>
      <c r="G108" s="210">
        <v>30</v>
      </c>
      <c r="H108" s="210" t="s">
        <v>36</v>
      </c>
      <c r="I108" s="222" t="s">
        <v>152</v>
      </c>
      <c r="J108" s="210" t="s">
        <v>30</v>
      </c>
      <c r="K108" s="217">
        <f>((9.3*14%)+9.3)*16250</f>
        <v>172282.5</v>
      </c>
      <c r="L108" s="212">
        <f t="shared" si="4"/>
        <v>62021700</v>
      </c>
      <c r="M108" s="217">
        <f t="shared" si="6"/>
        <v>62021700</v>
      </c>
      <c r="N108" s="210">
        <v>1</v>
      </c>
    </row>
    <row r="109" spans="1:14" s="23" customFormat="1" ht="55.5" customHeight="1" x14ac:dyDescent="0.2">
      <c r="A109" s="209">
        <v>9</v>
      </c>
      <c r="B109" s="220">
        <v>5535</v>
      </c>
      <c r="C109" s="218" t="s">
        <v>25</v>
      </c>
      <c r="D109" s="218" t="s">
        <v>46</v>
      </c>
      <c r="E109" s="218" t="s">
        <v>163</v>
      </c>
      <c r="F109" s="210" t="s">
        <v>28</v>
      </c>
      <c r="G109" s="210">
        <v>20</v>
      </c>
      <c r="H109" s="210" t="s">
        <v>29</v>
      </c>
      <c r="I109" s="222" t="s">
        <v>148</v>
      </c>
      <c r="J109" s="210" t="s">
        <v>32</v>
      </c>
      <c r="K109" s="26">
        <f>(((4.5*(14+192)%)+4.5)+((10.5*(14+90)%)+10.5))*16250</f>
        <v>571837.5</v>
      </c>
      <c r="L109" s="212">
        <f t="shared" si="4"/>
        <v>137241000</v>
      </c>
      <c r="M109" s="26">
        <f t="shared" si="6"/>
        <v>137241000</v>
      </c>
      <c r="N109" s="210">
        <v>1</v>
      </c>
    </row>
    <row r="110" spans="1:14" s="23" customFormat="1" ht="41.25" customHeight="1" x14ac:dyDescent="0.2">
      <c r="A110" s="209">
        <v>9</v>
      </c>
      <c r="B110" s="220">
        <v>5535</v>
      </c>
      <c r="C110" s="218" t="s">
        <v>34</v>
      </c>
      <c r="D110" s="218" t="s">
        <v>35</v>
      </c>
      <c r="E110" s="218" t="s">
        <v>163</v>
      </c>
      <c r="F110" s="210" t="s">
        <v>28</v>
      </c>
      <c r="G110" s="210">
        <v>20</v>
      </c>
      <c r="H110" s="210" t="s">
        <v>36</v>
      </c>
      <c r="I110" s="222" t="s">
        <v>148</v>
      </c>
      <c r="J110" s="210" t="s">
        <v>32</v>
      </c>
      <c r="K110" s="217">
        <f>((9.3*14%)+9.3)*16250</f>
        <v>172282.5</v>
      </c>
      <c r="L110" s="212">
        <f t="shared" si="4"/>
        <v>41347800</v>
      </c>
      <c r="M110" s="217">
        <f t="shared" ref="M110:M126" si="7">L110*N110</f>
        <v>41347800</v>
      </c>
      <c r="N110" s="210">
        <v>1</v>
      </c>
    </row>
    <row r="111" spans="1:14" s="23" customFormat="1" ht="42.75" customHeight="1" x14ac:dyDescent="0.2">
      <c r="A111" s="209">
        <v>9</v>
      </c>
      <c r="B111" s="220">
        <v>5537</v>
      </c>
      <c r="C111" s="218" t="s">
        <v>25</v>
      </c>
      <c r="D111" s="218" t="s">
        <v>26</v>
      </c>
      <c r="E111" s="218" t="s">
        <v>168</v>
      </c>
      <c r="F111" s="210" t="s">
        <v>28</v>
      </c>
      <c r="G111" s="210">
        <v>20</v>
      </c>
      <c r="H111" s="210" t="s">
        <v>29</v>
      </c>
      <c r="I111" s="222" t="s">
        <v>152</v>
      </c>
      <c r="J111" s="210" t="s">
        <v>30</v>
      </c>
      <c r="K111" s="217">
        <f>(((4.5*(14+192)%)+4.5)+((10.5*14%)+10.5))*16250</f>
        <v>418275.00000000006</v>
      </c>
      <c r="L111" s="212">
        <f t="shared" si="4"/>
        <v>100386000.00000001</v>
      </c>
      <c r="M111" s="217">
        <f t="shared" si="7"/>
        <v>100386000.00000001</v>
      </c>
      <c r="N111" s="210">
        <v>1</v>
      </c>
    </row>
    <row r="112" spans="1:14" s="23" customFormat="1" ht="51.75" customHeight="1" x14ac:dyDescent="0.2">
      <c r="A112" s="209">
        <v>9</v>
      </c>
      <c r="B112" s="220">
        <v>5537</v>
      </c>
      <c r="C112" s="218" t="s">
        <v>34</v>
      </c>
      <c r="D112" s="218" t="s">
        <v>35</v>
      </c>
      <c r="E112" s="218" t="s">
        <v>168</v>
      </c>
      <c r="F112" s="210" t="s">
        <v>28</v>
      </c>
      <c r="G112" s="210">
        <v>20</v>
      </c>
      <c r="H112" s="210" t="s">
        <v>36</v>
      </c>
      <c r="I112" s="222" t="s">
        <v>152</v>
      </c>
      <c r="J112" s="210" t="s">
        <v>30</v>
      </c>
      <c r="K112" s="217">
        <f>((9.3*14%)+9.3)*16250</f>
        <v>172282.5</v>
      </c>
      <c r="L112" s="212">
        <f t="shared" si="4"/>
        <v>41347800</v>
      </c>
      <c r="M112" s="217">
        <f t="shared" si="7"/>
        <v>41347800</v>
      </c>
      <c r="N112" s="210">
        <v>1</v>
      </c>
    </row>
    <row r="113" spans="1:14" s="23" customFormat="1" ht="51.75" customHeight="1" x14ac:dyDescent="0.2">
      <c r="A113" s="209">
        <v>10</v>
      </c>
      <c r="B113" s="220">
        <v>5538</v>
      </c>
      <c r="C113" s="218" t="s">
        <v>25</v>
      </c>
      <c r="D113" s="218" t="s">
        <v>26</v>
      </c>
      <c r="E113" s="218" t="s">
        <v>72</v>
      </c>
      <c r="F113" s="210" t="s">
        <v>28</v>
      </c>
      <c r="G113" s="210">
        <v>15</v>
      </c>
      <c r="H113" s="210" t="s">
        <v>29</v>
      </c>
      <c r="I113" s="221" t="s">
        <v>150</v>
      </c>
      <c r="J113" s="210" t="s">
        <v>30</v>
      </c>
      <c r="K113" s="26">
        <f>(((4.5*(14+192)%)+4.5)+((10.5*14%)+10.5))*16250</f>
        <v>418275.00000000006</v>
      </c>
      <c r="L113" s="212">
        <f t="shared" si="4"/>
        <v>75289500.000000015</v>
      </c>
      <c r="M113" s="26">
        <f t="shared" si="7"/>
        <v>75289500.000000015</v>
      </c>
      <c r="N113" s="210">
        <v>1</v>
      </c>
    </row>
    <row r="114" spans="1:14" s="23" customFormat="1" ht="41.25" customHeight="1" x14ac:dyDescent="0.2">
      <c r="A114" s="209">
        <v>10</v>
      </c>
      <c r="B114" s="220">
        <v>5538</v>
      </c>
      <c r="C114" s="218" t="s">
        <v>34</v>
      </c>
      <c r="D114" s="218" t="s">
        <v>35</v>
      </c>
      <c r="E114" s="218" t="s">
        <v>72</v>
      </c>
      <c r="F114" s="210" t="s">
        <v>28</v>
      </c>
      <c r="G114" s="210">
        <v>15</v>
      </c>
      <c r="H114" s="210" t="s">
        <v>36</v>
      </c>
      <c r="I114" s="221" t="s">
        <v>150</v>
      </c>
      <c r="J114" s="210" t="s">
        <v>30</v>
      </c>
      <c r="K114" s="217">
        <f>((9.3*14%)+9.3)*16250</f>
        <v>172282.5</v>
      </c>
      <c r="L114" s="212">
        <f t="shared" si="4"/>
        <v>31010850</v>
      </c>
      <c r="M114" s="217">
        <f t="shared" si="7"/>
        <v>31010850</v>
      </c>
      <c r="N114" s="210">
        <v>1</v>
      </c>
    </row>
    <row r="115" spans="1:14" s="23" customFormat="1" ht="38.25" customHeight="1" x14ac:dyDescent="0.2">
      <c r="A115" s="209">
        <v>10</v>
      </c>
      <c r="B115" s="220">
        <v>5539</v>
      </c>
      <c r="C115" s="218" t="s">
        <v>25</v>
      </c>
      <c r="D115" s="218" t="s">
        <v>26</v>
      </c>
      <c r="E115" s="218" t="s">
        <v>72</v>
      </c>
      <c r="F115" s="210" t="s">
        <v>28</v>
      </c>
      <c r="G115" s="210">
        <v>15</v>
      </c>
      <c r="H115" s="210" t="s">
        <v>29</v>
      </c>
      <c r="I115" s="221" t="s">
        <v>151</v>
      </c>
      <c r="J115" s="210" t="s">
        <v>30</v>
      </c>
      <c r="K115" s="26">
        <f>(((4.5*(14+192)%)+4.5)+((10.5*14%)+10.5))*16250</f>
        <v>418275.00000000006</v>
      </c>
      <c r="L115" s="212">
        <f t="shared" si="4"/>
        <v>75289500.000000015</v>
      </c>
      <c r="M115" s="26">
        <f t="shared" si="7"/>
        <v>75289500.000000015</v>
      </c>
      <c r="N115" s="210">
        <v>1</v>
      </c>
    </row>
    <row r="116" spans="1:14" s="23" customFormat="1" ht="40.5" customHeight="1" x14ac:dyDescent="0.2">
      <c r="A116" s="209">
        <v>10</v>
      </c>
      <c r="B116" s="220">
        <v>5539</v>
      </c>
      <c r="C116" s="218" t="s">
        <v>34</v>
      </c>
      <c r="D116" s="218" t="s">
        <v>35</v>
      </c>
      <c r="E116" s="218" t="s">
        <v>72</v>
      </c>
      <c r="F116" s="210" t="s">
        <v>28</v>
      </c>
      <c r="G116" s="210">
        <v>15</v>
      </c>
      <c r="H116" s="210" t="s">
        <v>36</v>
      </c>
      <c r="I116" s="221" t="s">
        <v>151</v>
      </c>
      <c r="J116" s="210" t="s">
        <v>30</v>
      </c>
      <c r="K116" s="217">
        <f>((9.3*14%)+9.3)*16250</f>
        <v>172282.5</v>
      </c>
      <c r="L116" s="212">
        <f t="shared" si="4"/>
        <v>31010850</v>
      </c>
      <c r="M116" s="217">
        <f t="shared" si="7"/>
        <v>31010850</v>
      </c>
      <c r="N116" s="210">
        <v>1</v>
      </c>
    </row>
    <row r="117" spans="1:14" s="71" customFormat="1" ht="40.5" customHeight="1" x14ac:dyDescent="0.2">
      <c r="A117" s="209">
        <v>10</v>
      </c>
      <c r="B117" s="220">
        <v>5540</v>
      </c>
      <c r="C117" s="218" t="s">
        <v>25</v>
      </c>
      <c r="D117" s="218" t="s">
        <v>40</v>
      </c>
      <c r="E117" s="218" t="s">
        <v>200</v>
      </c>
      <c r="F117" s="209" t="s">
        <v>301</v>
      </c>
      <c r="G117" s="209">
        <v>15</v>
      </c>
      <c r="H117" s="210" t="s">
        <v>29</v>
      </c>
      <c r="I117" s="222" t="s">
        <v>259</v>
      </c>
      <c r="J117" s="214" t="s">
        <v>30</v>
      </c>
      <c r="K117" s="212">
        <f>(((4.5*(14+192)%)+4.5)+((10.5*(14+45)%)+10.5))*16250</f>
        <v>495056.25</v>
      </c>
      <c r="L117" s="212">
        <f t="shared" si="4"/>
        <v>89110125</v>
      </c>
      <c r="M117" s="217">
        <f t="shared" si="7"/>
        <v>89110125</v>
      </c>
      <c r="N117" s="210">
        <v>1</v>
      </c>
    </row>
    <row r="118" spans="1:14" s="71" customFormat="1" ht="65.25" customHeight="1" x14ac:dyDescent="0.2">
      <c r="A118" s="209">
        <v>10</v>
      </c>
      <c r="B118" s="220">
        <v>5540</v>
      </c>
      <c r="C118" s="218" t="s">
        <v>34</v>
      </c>
      <c r="D118" s="218" t="s">
        <v>43</v>
      </c>
      <c r="E118" s="218" t="s">
        <v>200</v>
      </c>
      <c r="F118" s="213" t="s">
        <v>301</v>
      </c>
      <c r="G118" s="209">
        <v>15</v>
      </c>
      <c r="H118" s="210" t="s">
        <v>36</v>
      </c>
      <c r="I118" s="222" t="s">
        <v>259</v>
      </c>
      <c r="J118" s="214" t="s">
        <v>30</v>
      </c>
      <c r="K118" s="212">
        <f>((9.3*14%)+9.3)*16250</f>
        <v>172282.5</v>
      </c>
      <c r="L118" s="212">
        <f t="shared" si="4"/>
        <v>31010850</v>
      </c>
      <c r="M118" s="217">
        <f t="shared" si="7"/>
        <v>31010850</v>
      </c>
      <c r="N118" s="210">
        <v>1</v>
      </c>
    </row>
    <row r="119" spans="1:14" s="71" customFormat="1" ht="52.5" customHeight="1" x14ac:dyDescent="0.2">
      <c r="A119" s="209">
        <v>10</v>
      </c>
      <c r="B119" s="220">
        <v>5540</v>
      </c>
      <c r="C119" s="218" t="s">
        <v>34</v>
      </c>
      <c r="D119" s="218" t="s">
        <v>75</v>
      </c>
      <c r="E119" s="218" t="s">
        <v>200</v>
      </c>
      <c r="F119" s="213" t="s">
        <v>301</v>
      </c>
      <c r="G119" s="209">
        <v>15</v>
      </c>
      <c r="H119" s="210" t="s">
        <v>36</v>
      </c>
      <c r="I119" s="222" t="s">
        <v>259</v>
      </c>
      <c r="J119" s="214" t="s">
        <v>30</v>
      </c>
      <c r="K119" s="212">
        <f>((9.3*14%)+9.3)*16250</f>
        <v>172282.5</v>
      </c>
      <c r="L119" s="212">
        <f t="shared" si="4"/>
        <v>31010850</v>
      </c>
      <c r="M119" s="217">
        <f t="shared" si="7"/>
        <v>31010850</v>
      </c>
      <c r="N119" s="210">
        <v>1</v>
      </c>
    </row>
    <row r="120" spans="1:14" s="71" customFormat="1" ht="57.75" customHeight="1" x14ac:dyDescent="0.2">
      <c r="A120" s="209">
        <v>10</v>
      </c>
      <c r="B120" s="220">
        <v>5541</v>
      </c>
      <c r="C120" s="218" t="s">
        <v>25</v>
      </c>
      <c r="D120" s="218" t="s">
        <v>40</v>
      </c>
      <c r="E120" s="218" t="s">
        <v>204</v>
      </c>
      <c r="F120" s="213" t="s">
        <v>301</v>
      </c>
      <c r="G120" s="209">
        <v>15</v>
      </c>
      <c r="H120" s="210" t="s">
        <v>29</v>
      </c>
      <c r="I120" s="222" t="s">
        <v>259</v>
      </c>
      <c r="J120" s="214" t="s">
        <v>30</v>
      </c>
      <c r="K120" s="212">
        <f>(((4.5*(14+192)%)+4.5)+((10.5*(14+45)%)+10.5))*16250</f>
        <v>495056.25</v>
      </c>
      <c r="L120" s="212">
        <f t="shared" si="4"/>
        <v>89110125</v>
      </c>
      <c r="M120" s="217">
        <f t="shared" si="7"/>
        <v>89110125</v>
      </c>
      <c r="N120" s="210">
        <v>1</v>
      </c>
    </row>
    <row r="121" spans="1:14" s="71" customFormat="1" ht="53.25" customHeight="1" x14ac:dyDescent="0.2">
      <c r="A121" s="209">
        <v>10</v>
      </c>
      <c r="B121" s="220">
        <v>5541</v>
      </c>
      <c r="C121" s="218" t="s">
        <v>34</v>
      </c>
      <c r="D121" s="218" t="s">
        <v>43</v>
      </c>
      <c r="E121" s="218" t="s">
        <v>204</v>
      </c>
      <c r="F121" s="213" t="s">
        <v>301</v>
      </c>
      <c r="G121" s="209">
        <v>15</v>
      </c>
      <c r="H121" s="210" t="s">
        <v>36</v>
      </c>
      <c r="I121" s="222" t="s">
        <v>259</v>
      </c>
      <c r="J121" s="214" t="s">
        <v>30</v>
      </c>
      <c r="K121" s="212">
        <f>((9.3*14%)+9.3)*16250</f>
        <v>172282.5</v>
      </c>
      <c r="L121" s="212">
        <f t="shared" si="4"/>
        <v>31010850</v>
      </c>
      <c r="M121" s="217">
        <f t="shared" si="7"/>
        <v>31010850</v>
      </c>
      <c r="N121" s="210">
        <v>1</v>
      </c>
    </row>
    <row r="122" spans="1:14" s="71" customFormat="1" ht="68.25" customHeight="1" x14ac:dyDescent="0.2">
      <c r="A122" s="209">
        <v>10</v>
      </c>
      <c r="B122" s="220">
        <v>5541</v>
      </c>
      <c r="C122" s="218" t="s">
        <v>34</v>
      </c>
      <c r="D122" s="218" t="s">
        <v>75</v>
      </c>
      <c r="E122" s="218" t="s">
        <v>204</v>
      </c>
      <c r="F122" s="213" t="s">
        <v>301</v>
      </c>
      <c r="G122" s="209">
        <v>15</v>
      </c>
      <c r="H122" s="210" t="s">
        <v>36</v>
      </c>
      <c r="I122" s="222" t="s">
        <v>259</v>
      </c>
      <c r="J122" s="214" t="s">
        <v>30</v>
      </c>
      <c r="K122" s="212">
        <f>((9.3*14%)+9.3)*16250</f>
        <v>172282.5</v>
      </c>
      <c r="L122" s="212">
        <f t="shared" si="4"/>
        <v>31010850</v>
      </c>
      <c r="M122" s="217">
        <f t="shared" si="7"/>
        <v>31010850</v>
      </c>
      <c r="N122" s="210">
        <v>1</v>
      </c>
    </row>
    <row r="123" spans="1:14" s="165" customFormat="1" ht="45.75" customHeight="1" x14ac:dyDescent="0.25">
      <c r="A123" s="209">
        <v>11</v>
      </c>
      <c r="B123" s="220">
        <v>5542</v>
      </c>
      <c r="C123" s="218" t="s">
        <v>25</v>
      </c>
      <c r="D123" s="218" t="s">
        <v>46</v>
      </c>
      <c r="E123" s="218" t="s">
        <v>58</v>
      </c>
      <c r="F123" s="209" t="s">
        <v>28</v>
      </c>
      <c r="G123" s="209">
        <v>20</v>
      </c>
      <c r="H123" s="209" t="s">
        <v>29</v>
      </c>
      <c r="I123" s="222" t="s">
        <v>148</v>
      </c>
      <c r="J123" s="210" t="s">
        <v>32</v>
      </c>
      <c r="K123" s="26">
        <f>(((4.5*(84+192)%)+4.5)+((10.5*(84+90)%)+10.5))*16250</f>
        <v>742462.5</v>
      </c>
      <c r="L123" s="212">
        <f t="shared" si="4"/>
        <v>178191000</v>
      </c>
      <c r="M123" s="217">
        <f t="shared" si="7"/>
        <v>178191000</v>
      </c>
      <c r="N123" s="210">
        <v>1</v>
      </c>
    </row>
    <row r="124" spans="1:14" s="165" customFormat="1" ht="54.75" customHeight="1" x14ac:dyDescent="0.25">
      <c r="A124" s="209">
        <v>11</v>
      </c>
      <c r="B124" s="220">
        <v>5542</v>
      </c>
      <c r="C124" s="218" t="s">
        <v>34</v>
      </c>
      <c r="D124" s="218" t="s">
        <v>35</v>
      </c>
      <c r="E124" s="218" t="s">
        <v>58</v>
      </c>
      <c r="F124" s="209" t="s">
        <v>28</v>
      </c>
      <c r="G124" s="209">
        <v>20</v>
      </c>
      <c r="H124" s="209" t="s">
        <v>36</v>
      </c>
      <c r="I124" s="222" t="s">
        <v>148</v>
      </c>
      <c r="J124" s="210" t="s">
        <v>32</v>
      </c>
      <c r="K124" s="217">
        <f>((9.3*84%)+9.3)*16250</f>
        <v>278070.00000000006</v>
      </c>
      <c r="L124" s="212">
        <f t="shared" si="4"/>
        <v>66736800.000000015</v>
      </c>
      <c r="M124" s="217">
        <f t="shared" si="7"/>
        <v>66736800.000000015</v>
      </c>
      <c r="N124" s="210">
        <v>1</v>
      </c>
    </row>
    <row r="125" spans="1:14" s="23" customFormat="1" ht="48.75" customHeight="1" x14ac:dyDescent="0.2">
      <c r="A125" s="209">
        <v>12</v>
      </c>
      <c r="B125" s="220">
        <v>5543</v>
      </c>
      <c r="C125" s="218" t="s">
        <v>25</v>
      </c>
      <c r="D125" s="218" t="s">
        <v>41</v>
      </c>
      <c r="E125" s="218" t="s">
        <v>69</v>
      </c>
      <c r="F125" s="209" t="s">
        <v>28</v>
      </c>
      <c r="G125" s="209">
        <v>20</v>
      </c>
      <c r="H125" s="209" t="s">
        <v>29</v>
      </c>
      <c r="I125" s="221" t="s">
        <v>150</v>
      </c>
      <c r="J125" s="210" t="s">
        <v>32</v>
      </c>
      <c r="K125" s="26">
        <f>(((4.5*(56+192)%)+4.5)+((10.5*(56+45)%)+10.5))*16250</f>
        <v>597431.25</v>
      </c>
      <c r="L125" s="212">
        <f t="shared" si="4"/>
        <v>143383500</v>
      </c>
      <c r="M125" s="217">
        <f t="shared" si="7"/>
        <v>143383500</v>
      </c>
      <c r="N125" s="210">
        <v>1</v>
      </c>
    </row>
    <row r="126" spans="1:14" s="23" customFormat="1" ht="41.25" customHeight="1" x14ac:dyDescent="0.2">
      <c r="A126" s="209">
        <v>12</v>
      </c>
      <c r="B126" s="220">
        <v>5543</v>
      </c>
      <c r="C126" s="218" t="s">
        <v>34</v>
      </c>
      <c r="D126" s="218" t="s">
        <v>35</v>
      </c>
      <c r="E126" s="218" t="s">
        <v>69</v>
      </c>
      <c r="F126" s="209" t="s">
        <v>28</v>
      </c>
      <c r="G126" s="209">
        <v>20</v>
      </c>
      <c r="H126" s="209" t="s">
        <v>36</v>
      </c>
      <c r="I126" s="221" t="s">
        <v>150</v>
      </c>
      <c r="J126" s="210" t="s">
        <v>32</v>
      </c>
      <c r="K126" s="217">
        <f>((9.3*56%)+9.3)*16250</f>
        <v>235755.00000000003</v>
      </c>
      <c r="L126" s="212">
        <f t="shared" si="4"/>
        <v>56581200.000000015</v>
      </c>
      <c r="M126" s="217">
        <f t="shared" si="7"/>
        <v>56581200.000000015</v>
      </c>
      <c r="N126" s="210">
        <v>1</v>
      </c>
    </row>
    <row r="127" spans="1:14" s="104" customFormat="1" ht="51.75" customHeight="1" x14ac:dyDescent="0.2">
      <c r="A127" s="209">
        <v>13</v>
      </c>
      <c r="B127" s="220">
        <v>5544</v>
      </c>
      <c r="C127" s="218" t="s">
        <v>25</v>
      </c>
      <c r="D127" s="218" t="s">
        <v>46</v>
      </c>
      <c r="E127" s="218" t="s">
        <v>219</v>
      </c>
      <c r="F127" s="209" t="s">
        <v>28</v>
      </c>
      <c r="G127" s="209">
        <v>30</v>
      </c>
      <c r="H127" s="209" t="s">
        <v>29</v>
      </c>
      <c r="I127" s="222" t="s">
        <v>149</v>
      </c>
      <c r="J127" s="209" t="s">
        <v>32</v>
      </c>
      <c r="K127" s="93">
        <f>(((4.5*(0+178+0)%)+4.5)+((10.5*(0+90)%)+10.5))*16250</f>
        <v>527475</v>
      </c>
      <c r="L127" s="212">
        <f t="shared" si="4"/>
        <v>189891000</v>
      </c>
      <c r="M127" s="93">
        <f t="shared" ref="M127:M151" si="8">L127*N127</f>
        <v>189891000</v>
      </c>
      <c r="N127" s="209">
        <v>1</v>
      </c>
    </row>
    <row r="128" spans="1:14" s="104" customFormat="1" ht="41.45" customHeight="1" x14ac:dyDescent="0.2">
      <c r="A128" s="209">
        <v>13</v>
      </c>
      <c r="B128" s="218">
        <v>5544</v>
      </c>
      <c r="C128" s="218" t="s">
        <v>34</v>
      </c>
      <c r="D128" s="218" t="s">
        <v>35</v>
      </c>
      <c r="E128" s="218" t="s">
        <v>219</v>
      </c>
      <c r="F128" s="209" t="s">
        <v>28</v>
      </c>
      <c r="G128" s="209">
        <v>30</v>
      </c>
      <c r="H128" s="209" t="s">
        <v>36</v>
      </c>
      <c r="I128" s="222" t="s">
        <v>149</v>
      </c>
      <c r="J128" s="209" t="s">
        <v>32</v>
      </c>
      <c r="K128" s="96">
        <f>((9.3*0%)+9.3)*16250</f>
        <v>151125</v>
      </c>
      <c r="L128" s="212">
        <f t="shared" si="4"/>
        <v>54405000</v>
      </c>
      <c r="M128" s="96">
        <f t="shared" si="8"/>
        <v>54405000</v>
      </c>
      <c r="N128" s="209">
        <v>1</v>
      </c>
    </row>
    <row r="129" spans="1:14" s="104" customFormat="1" ht="46.5" customHeight="1" x14ac:dyDescent="0.2">
      <c r="A129" s="209">
        <v>13</v>
      </c>
      <c r="B129" s="220">
        <v>5545</v>
      </c>
      <c r="C129" s="218" t="s">
        <v>25</v>
      </c>
      <c r="D129" s="218" t="s">
        <v>26</v>
      </c>
      <c r="E129" s="218" t="s">
        <v>221</v>
      </c>
      <c r="F129" s="209" t="s">
        <v>28</v>
      </c>
      <c r="G129" s="209">
        <v>30</v>
      </c>
      <c r="H129" s="209" t="s">
        <v>29</v>
      </c>
      <c r="I129" s="222" t="s">
        <v>152</v>
      </c>
      <c r="J129" s="209" t="s">
        <v>55</v>
      </c>
      <c r="K129" s="93">
        <f>(((4.5*(0+178+0)%)+4.5)+((10.5*0%)+10.5))*16250</f>
        <v>373912.49999999994</v>
      </c>
      <c r="L129" s="212">
        <f t="shared" si="4"/>
        <v>134608499.99999997</v>
      </c>
      <c r="M129" s="93">
        <f t="shared" si="8"/>
        <v>134608499.99999997</v>
      </c>
      <c r="N129" s="209">
        <v>1</v>
      </c>
    </row>
    <row r="130" spans="1:14" s="104" customFormat="1" ht="41.45" customHeight="1" x14ac:dyDescent="0.2">
      <c r="A130" s="209">
        <v>13</v>
      </c>
      <c r="B130" s="218">
        <v>5545</v>
      </c>
      <c r="C130" s="218" t="s">
        <v>34</v>
      </c>
      <c r="D130" s="218" t="s">
        <v>35</v>
      </c>
      <c r="E130" s="218" t="s">
        <v>221</v>
      </c>
      <c r="F130" s="209" t="s">
        <v>28</v>
      </c>
      <c r="G130" s="209">
        <v>30</v>
      </c>
      <c r="H130" s="209" t="s">
        <v>36</v>
      </c>
      <c r="I130" s="222" t="s">
        <v>152</v>
      </c>
      <c r="J130" s="209" t="s">
        <v>55</v>
      </c>
      <c r="K130" s="93">
        <f>((9.3*0%)+9.3)*16250</f>
        <v>151125</v>
      </c>
      <c r="L130" s="212">
        <f t="shared" si="4"/>
        <v>54405000</v>
      </c>
      <c r="M130" s="93">
        <f t="shared" si="8"/>
        <v>54405000</v>
      </c>
      <c r="N130" s="209">
        <v>1</v>
      </c>
    </row>
    <row r="131" spans="1:14" s="104" customFormat="1" ht="44.25" customHeight="1" x14ac:dyDescent="0.2">
      <c r="A131" s="209">
        <v>13</v>
      </c>
      <c r="B131" s="220">
        <v>5546</v>
      </c>
      <c r="C131" s="218" t="s">
        <v>25</v>
      </c>
      <c r="D131" s="218" t="s">
        <v>26</v>
      </c>
      <c r="E131" s="218" t="s">
        <v>223</v>
      </c>
      <c r="F131" s="209" t="s">
        <v>28</v>
      </c>
      <c r="G131" s="209">
        <v>20</v>
      </c>
      <c r="H131" s="209" t="s">
        <v>29</v>
      </c>
      <c r="I131" s="221" t="s">
        <v>151</v>
      </c>
      <c r="J131" s="209" t="s">
        <v>55</v>
      </c>
      <c r="K131" s="93">
        <f>(((4.5*(0+192)%)+4.5)+((10.5*0%)+10.5))*16250</f>
        <v>384150</v>
      </c>
      <c r="L131" s="212">
        <f t="shared" ref="L131:L134" si="9">K131*G131*12</f>
        <v>92196000</v>
      </c>
      <c r="M131" s="93">
        <f t="shared" si="8"/>
        <v>92196000</v>
      </c>
      <c r="N131" s="209">
        <v>1</v>
      </c>
    </row>
    <row r="132" spans="1:14" s="104" customFormat="1" ht="53.25" customHeight="1" x14ac:dyDescent="0.2">
      <c r="A132" s="209">
        <v>13</v>
      </c>
      <c r="B132" s="218">
        <v>5546</v>
      </c>
      <c r="C132" s="218" t="s">
        <v>34</v>
      </c>
      <c r="D132" s="218" t="s">
        <v>35</v>
      </c>
      <c r="E132" s="218" t="s">
        <v>223</v>
      </c>
      <c r="F132" s="209" t="s">
        <v>28</v>
      </c>
      <c r="G132" s="209">
        <v>20</v>
      </c>
      <c r="H132" s="209" t="s">
        <v>36</v>
      </c>
      <c r="I132" s="221" t="s">
        <v>151</v>
      </c>
      <c r="J132" s="209" t="s">
        <v>55</v>
      </c>
      <c r="K132" s="93">
        <f>((9.3*0%)+9.3)*16250</f>
        <v>151125</v>
      </c>
      <c r="L132" s="212">
        <f t="shared" si="9"/>
        <v>36270000</v>
      </c>
      <c r="M132" s="93">
        <f t="shared" si="8"/>
        <v>36270000</v>
      </c>
      <c r="N132" s="209">
        <v>1</v>
      </c>
    </row>
    <row r="133" spans="1:14" s="104" customFormat="1" ht="48.75" customHeight="1" x14ac:dyDescent="0.2">
      <c r="A133" s="209">
        <v>13</v>
      </c>
      <c r="B133" s="220">
        <v>5547</v>
      </c>
      <c r="C133" s="218" t="s">
        <v>25</v>
      </c>
      <c r="D133" s="218" t="s">
        <v>41</v>
      </c>
      <c r="E133" s="218" t="s">
        <v>226</v>
      </c>
      <c r="F133" s="209" t="s">
        <v>28</v>
      </c>
      <c r="G133" s="209">
        <v>10</v>
      </c>
      <c r="H133" s="209" t="s">
        <v>29</v>
      </c>
      <c r="I133" s="221" t="s">
        <v>150</v>
      </c>
      <c r="J133" s="209" t="s">
        <v>30</v>
      </c>
      <c r="K133" s="93">
        <f>(((4.5*(0+192+0)%)+4.5)+((10.5*(0+45)%)+10.5))*16250</f>
        <v>460931.25000000006</v>
      </c>
      <c r="L133" s="212">
        <f t="shared" si="9"/>
        <v>55311750.000000015</v>
      </c>
      <c r="M133" s="93">
        <f t="shared" si="8"/>
        <v>55311750.000000015</v>
      </c>
      <c r="N133" s="209">
        <v>1</v>
      </c>
    </row>
    <row r="134" spans="1:14" s="104" customFormat="1" ht="47.25" customHeight="1" x14ac:dyDescent="0.2">
      <c r="A134" s="209">
        <v>13</v>
      </c>
      <c r="B134" s="218">
        <v>5547</v>
      </c>
      <c r="C134" s="218" t="s">
        <v>34</v>
      </c>
      <c r="D134" s="218" t="s">
        <v>35</v>
      </c>
      <c r="E134" s="218" t="s">
        <v>226</v>
      </c>
      <c r="F134" s="209" t="s">
        <v>28</v>
      </c>
      <c r="G134" s="209">
        <v>10</v>
      </c>
      <c r="H134" s="209" t="s">
        <v>36</v>
      </c>
      <c r="I134" s="221" t="s">
        <v>150</v>
      </c>
      <c r="J134" s="209" t="s">
        <v>30</v>
      </c>
      <c r="K134" s="93">
        <f>((9.3*0%)+9.3)*16250</f>
        <v>151125</v>
      </c>
      <c r="L134" s="212">
        <f t="shared" si="9"/>
        <v>18135000</v>
      </c>
      <c r="M134" s="93">
        <f t="shared" si="8"/>
        <v>18135000</v>
      </c>
      <c r="N134" s="209">
        <v>1</v>
      </c>
    </row>
    <row r="135" spans="1:14" s="104" customFormat="1" ht="42.75" customHeight="1" x14ac:dyDescent="0.2">
      <c r="A135" s="209">
        <v>13</v>
      </c>
      <c r="B135" s="220">
        <v>5548</v>
      </c>
      <c r="C135" s="218" t="s">
        <v>25</v>
      </c>
      <c r="D135" s="218" t="s">
        <v>41</v>
      </c>
      <c r="E135" s="218" t="s">
        <v>230</v>
      </c>
      <c r="F135" s="209" t="s">
        <v>28</v>
      </c>
      <c r="G135" s="209">
        <v>12</v>
      </c>
      <c r="H135" s="209" t="s">
        <v>29</v>
      </c>
      <c r="I135" s="221" t="s">
        <v>150</v>
      </c>
      <c r="J135" s="209" t="s">
        <v>55</v>
      </c>
      <c r="K135" s="93">
        <f>(((4.5*(0+192+0)%)+4.5)+((10.5*(0+45)%)+10.5))*16250</f>
        <v>460931.25000000006</v>
      </c>
      <c r="L135" s="93">
        <f t="shared" ref="L135:L168" si="10">K135*G135*12</f>
        <v>66374100.000000015</v>
      </c>
      <c r="M135" s="93">
        <f t="shared" si="8"/>
        <v>66374100.000000015</v>
      </c>
      <c r="N135" s="209">
        <v>1</v>
      </c>
    </row>
    <row r="136" spans="1:14" s="104" customFormat="1" ht="45.75" customHeight="1" x14ac:dyDescent="0.2">
      <c r="A136" s="209">
        <v>13</v>
      </c>
      <c r="B136" s="218">
        <v>5548</v>
      </c>
      <c r="C136" s="218" t="s">
        <v>34</v>
      </c>
      <c r="D136" s="218" t="s">
        <v>35</v>
      </c>
      <c r="E136" s="218" t="s">
        <v>230</v>
      </c>
      <c r="F136" s="209" t="s">
        <v>28</v>
      </c>
      <c r="G136" s="209">
        <v>12</v>
      </c>
      <c r="H136" s="209" t="s">
        <v>36</v>
      </c>
      <c r="I136" s="221" t="s">
        <v>150</v>
      </c>
      <c r="J136" s="209" t="s">
        <v>55</v>
      </c>
      <c r="K136" s="93">
        <f>((9.3*0%)+9.3)*16250</f>
        <v>151125</v>
      </c>
      <c r="L136" s="93">
        <f t="shared" si="10"/>
        <v>21762000</v>
      </c>
      <c r="M136" s="93">
        <f t="shared" si="8"/>
        <v>21762000</v>
      </c>
      <c r="N136" s="209">
        <v>1</v>
      </c>
    </row>
    <row r="137" spans="1:14" s="104" customFormat="1" ht="40.5" customHeight="1" x14ac:dyDescent="0.2">
      <c r="A137" s="209">
        <v>13</v>
      </c>
      <c r="B137" s="220">
        <v>5549</v>
      </c>
      <c r="C137" s="218" t="s">
        <v>25</v>
      </c>
      <c r="D137" s="218" t="s">
        <v>128</v>
      </c>
      <c r="E137" s="218" t="s">
        <v>205</v>
      </c>
      <c r="F137" s="209" t="s">
        <v>28</v>
      </c>
      <c r="G137" s="209">
        <v>16</v>
      </c>
      <c r="H137" s="209" t="s">
        <v>29</v>
      </c>
      <c r="I137" s="222" t="s">
        <v>152</v>
      </c>
      <c r="J137" s="209" t="s">
        <v>30</v>
      </c>
      <c r="K137" s="93">
        <f>(((4.5*(0+192)%)+4.5)+((10.5*0%)+10.5))*16250</f>
        <v>384150</v>
      </c>
      <c r="L137" s="93">
        <f t="shared" si="10"/>
        <v>73756800</v>
      </c>
      <c r="M137" s="93">
        <f t="shared" si="8"/>
        <v>73756800</v>
      </c>
      <c r="N137" s="209">
        <v>1</v>
      </c>
    </row>
    <row r="138" spans="1:14" s="95" customFormat="1" ht="40.5" customHeight="1" x14ac:dyDescent="0.2">
      <c r="A138" s="209">
        <v>13</v>
      </c>
      <c r="B138" s="218">
        <v>5550</v>
      </c>
      <c r="C138" s="218" t="s">
        <v>25</v>
      </c>
      <c r="D138" s="218" t="s">
        <v>26</v>
      </c>
      <c r="E138" s="218" t="s">
        <v>235</v>
      </c>
      <c r="F138" s="209" t="s">
        <v>28</v>
      </c>
      <c r="G138" s="209">
        <v>20</v>
      </c>
      <c r="H138" s="209" t="s">
        <v>29</v>
      </c>
      <c r="I138" s="221" t="s">
        <v>151</v>
      </c>
      <c r="J138" s="209" t="s">
        <v>30</v>
      </c>
      <c r="K138" s="93">
        <f>(((4.5*(0+192)%)+4.5)+((10.5*0%)+10.5))*16250</f>
        <v>384150</v>
      </c>
      <c r="L138" s="93">
        <f t="shared" si="10"/>
        <v>92196000</v>
      </c>
      <c r="M138" s="93">
        <f t="shared" si="8"/>
        <v>92196000</v>
      </c>
      <c r="N138" s="209">
        <v>1</v>
      </c>
    </row>
    <row r="139" spans="1:14" s="104" customFormat="1" ht="39.75" customHeight="1" x14ac:dyDescent="0.2">
      <c r="A139" s="209">
        <v>13</v>
      </c>
      <c r="B139" s="218">
        <v>5550</v>
      </c>
      <c r="C139" s="218" t="s">
        <v>34</v>
      </c>
      <c r="D139" s="218" t="s">
        <v>35</v>
      </c>
      <c r="E139" s="218" t="s">
        <v>235</v>
      </c>
      <c r="F139" s="209" t="s">
        <v>28</v>
      </c>
      <c r="G139" s="209">
        <v>20</v>
      </c>
      <c r="H139" s="209" t="s">
        <v>36</v>
      </c>
      <c r="I139" s="221" t="s">
        <v>151</v>
      </c>
      <c r="J139" s="209" t="s">
        <v>30</v>
      </c>
      <c r="K139" s="93">
        <f>((9.3*0%)+9.3)*16250</f>
        <v>151125</v>
      </c>
      <c r="L139" s="93">
        <f t="shared" si="10"/>
        <v>36270000</v>
      </c>
      <c r="M139" s="93">
        <f t="shared" si="8"/>
        <v>36270000</v>
      </c>
      <c r="N139" s="209">
        <v>1</v>
      </c>
    </row>
    <row r="140" spans="1:14" s="104" customFormat="1" ht="39.75" customHeight="1" x14ac:dyDescent="0.2">
      <c r="A140" s="209">
        <v>13</v>
      </c>
      <c r="B140" s="220">
        <v>5551</v>
      </c>
      <c r="C140" s="218" t="s">
        <v>25</v>
      </c>
      <c r="D140" s="218" t="s">
        <v>26</v>
      </c>
      <c r="E140" s="218" t="s">
        <v>238</v>
      </c>
      <c r="F140" s="209" t="s">
        <v>28</v>
      </c>
      <c r="G140" s="209">
        <v>20</v>
      </c>
      <c r="H140" s="209" t="s">
        <v>29</v>
      </c>
      <c r="I140" s="221" t="s">
        <v>150</v>
      </c>
      <c r="J140" s="209" t="s">
        <v>30</v>
      </c>
      <c r="K140" s="93">
        <f>(((4.5*(0+192)%)+4.5)+((10.5*0%)+10.5))*16250</f>
        <v>384150</v>
      </c>
      <c r="L140" s="93">
        <f t="shared" si="10"/>
        <v>92196000</v>
      </c>
      <c r="M140" s="93">
        <f t="shared" si="8"/>
        <v>92196000</v>
      </c>
      <c r="N140" s="209">
        <v>1</v>
      </c>
    </row>
    <row r="141" spans="1:14" s="104" customFormat="1" ht="41.45" customHeight="1" x14ac:dyDescent="0.2">
      <c r="A141" s="209">
        <v>13</v>
      </c>
      <c r="B141" s="218">
        <v>5551</v>
      </c>
      <c r="C141" s="218" t="s">
        <v>34</v>
      </c>
      <c r="D141" s="218" t="s">
        <v>35</v>
      </c>
      <c r="E141" s="218" t="s">
        <v>238</v>
      </c>
      <c r="F141" s="209" t="s">
        <v>28</v>
      </c>
      <c r="G141" s="209">
        <v>20</v>
      </c>
      <c r="H141" s="209" t="s">
        <v>36</v>
      </c>
      <c r="I141" s="221" t="s">
        <v>150</v>
      </c>
      <c r="J141" s="209" t="s">
        <v>30</v>
      </c>
      <c r="K141" s="96">
        <f>((9.3*0%)+9.3)*16250</f>
        <v>151125</v>
      </c>
      <c r="L141" s="93">
        <f t="shared" si="10"/>
        <v>36270000</v>
      </c>
      <c r="M141" s="93">
        <f t="shared" si="8"/>
        <v>36270000</v>
      </c>
      <c r="N141" s="209">
        <v>1</v>
      </c>
    </row>
    <row r="142" spans="1:14" s="104" customFormat="1" ht="38.25" customHeight="1" x14ac:dyDescent="0.2">
      <c r="A142" s="209">
        <v>13</v>
      </c>
      <c r="B142" s="220">
        <v>5552</v>
      </c>
      <c r="C142" s="218" t="s">
        <v>25</v>
      </c>
      <c r="D142" s="218" t="s">
        <v>26</v>
      </c>
      <c r="E142" s="218" t="s">
        <v>240</v>
      </c>
      <c r="F142" s="209" t="s">
        <v>28</v>
      </c>
      <c r="G142" s="209">
        <v>20</v>
      </c>
      <c r="H142" s="209" t="s">
        <v>29</v>
      </c>
      <c r="I142" s="221" t="s">
        <v>150</v>
      </c>
      <c r="J142" s="209" t="s">
        <v>55</v>
      </c>
      <c r="K142" s="93">
        <f>(((4.5*(0+192)%)+4.5)+((10.5*0%)+10.5))*16250</f>
        <v>384150</v>
      </c>
      <c r="L142" s="93">
        <f t="shared" si="10"/>
        <v>92196000</v>
      </c>
      <c r="M142" s="93">
        <f t="shared" si="8"/>
        <v>92196000</v>
      </c>
      <c r="N142" s="209">
        <v>1</v>
      </c>
    </row>
    <row r="143" spans="1:14" s="104" customFormat="1" ht="39.75" customHeight="1" x14ac:dyDescent="0.2">
      <c r="A143" s="209">
        <v>13</v>
      </c>
      <c r="B143" s="218">
        <v>5552</v>
      </c>
      <c r="C143" s="218" t="s">
        <v>34</v>
      </c>
      <c r="D143" s="218" t="s">
        <v>35</v>
      </c>
      <c r="E143" s="218" t="s">
        <v>240</v>
      </c>
      <c r="F143" s="209" t="s">
        <v>28</v>
      </c>
      <c r="G143" s="209">
        <v>20</v>
      </c>
      <c r="H143" s="209" t="s">
        <v>36</v>
      </c>
      <c r="I143" s="221" t="s">
        <v>150</v>
      </c>
      <c r="J143" s="209" t="s">
        <v>55</v>
      </c>
      <c r="K143" s="93">
        <f>((9.3*0%)+9.3)*16250</f>
        <v>151125</v>
      </c>
      <c r="L143" s="93">
        <f t="shared" si="10"/>
        <v>36270000</v>
      </c>
      <c r="M143" s="93">
        <f t="shared" si="8"/>
        <v>36270000</v>
      </c>
      <c r="N143" s="209">
        <v>1</v>
      </c>
    </row>
    <row r="144" spans="1:14" s="104" customFormat="1" ht="38.25" customHeight="1" x14ac:dyDescent="0.2">
      <c r="A144" s="209">
        <v>13</v>
      </c>
      <c r="B144" s="220">
        <v>5553</v>
      </c>
      <c r="C144" s="218" t="s">
        <v>25</v>
      </c>
      <c r="D144" s="218" t="s">
        <v>26</v>
      </c>
      <c r="E144" s="218" t="s">
        <v>243</v>
      </c>
      <c r="F144" s="209" t="s">
        <v>28</v>
      </c>
      <c r="G144" s="209">
        <v>40</v>
      </c>
      <c r="H144" s="209" t="s">
        <v>29</v>
      </c>
      <c r="I144" s="221" t="s">
        <v>150</v>
      </c>
      <c r="J144" s="209" t="s">
        <v>55</v>
      </c>
      <c r="K144" s="93">
        <f>(((4.5*(0+178+0)%)+4.5)+((10.5*0%)+10.5))*16250</f>
        <v>373912.49999999994</v>
      </c>
      <c r="L144" s="93">
        <f t="shared" si="10"/>
        <v>179477999.99999997</v>
      </c>
      <c r="M144" s="93">
        <f t="shared" si="8"/>
        <v>179477999.99999997</v>
      </c>
      <c r="N144" s="209">
        <v>1</v>
      </c>
    </row>
    <row r="145" spans="1:14" s="104" customFormat="1" ht="25.5" x14ac:dyDescent="0.2">
      <c r="A145" s="209">
        <v>13</v>
      </c>
      <c r="B145" s="218">
        <v>5553</v>
      </c>
      <c r="C145" s="218" t="s">
        <v>34</v>
      </c>
      <c r="D145" s="218" t="s">
        <v>35</v>
      </c>
      <c r="E145" s="218" t="s">
        <v>243</v>
      </c>
      <c r="F145" s="209" t="s">
        <v>28</v>
      </c>
      <c r="G145" s="209">
        <v>40</v>
      </c>
      <c r="H145" s="209" t="s">
        <v>36</v>
      </c>
      <c r="I145" s="221" t="s">
        <v>150</v>
      </c>
      <c r="J145" s="209" t="s">
        <v>55</v>
      </c>
      <c r="K145" s="93">
        <f>((9.3*0%)+9.3)*16250</f>
        <v>151125</v>
      </c>
      <c r="L145" s="93">
        <f t="shared" si="10"/>
        <v>72540000</v>
      </c>
      <c r="M145" s="93">
        <f t="shared" si="8"/>
        <v>72540000</v>
      </c>
      <c r="N145" s="209">
        <v>1</v>
      </c>
    </row>
    <row r="146" spans="1:14" s="104" customFormat="1" ht="38.25" customHeight="1" x14ac:dyDescent="0.2">
      <c r="A146" s="209">
        <v>13</v>
      </c>
      <c r="B146" s="220">
        <v>5554</v>
      </c>
      <c r="C146" s="218" t="s">
        <v>25</v>
      </c>
      <c r="D146" s="218" t="s">
        <v>26</v>
      </c>
      <c r="E146" s="218" t="s">
        <v>243</v>
      </c>
      <c r="F146" s="209" t="s">
        <v>28</v>
      </c>
      <c r="G146" s="209">
        <v>40</v>
      </c>
      <c r="H146" s="209" t="s">
        <v>29</v>
      </c>
      <c r="I146" s="222" t="s">
        <v>152</v>
      </c>
      <c r="J146" s="209" t="s">
        <v>55</v>
      </c>
      <c r="K146" s="93">
        <f>(((4.5*(0+178+0)%)+4.5)+((10.5*0%)+10.5))*16250</f>
        <v>373912.49999999994</v>
      </c>
      <c r="L146" s="93">
        <f t="shared" si="10"/>
        <v>179477999.99999997</v>
      </c>
      <c r="M146" s="93">
        <f t="shared" si="8"/>
        <v>179477999.99999997</v>
      </c>
      <c r="N146" s="209">
        <v>1</v>
      </c>
    </row>
    <row r="147" spans="1:14" s="104" customFormat="1" ht="25.5" x14ac:dyDescent="0.2">
      <c r="A147" s="209">
        <v>13</v>
      </c>
      <c r="B147" s="218">
        <v>5554</v>
      </c>
      <c r="C147" s="218" t="s">
        <v>34</v>
      </c>
      <c r="D147" s="218" t="s">
        <v>35</v>
      </c>
      <c r="E147" s="218" t="s">
        <v>243</v>
      </c>
      <c r="F147" s="209" t="s">
        <v>28</v>
      </c>
      <c r="G147" s="209">
        <v>40</v>
      </c>
      <c r="H147" s="209" t="s">
        <v>36</v>
      </c>
      <c r="I147" s="222" t="s">
        <v>152</v>
      </c>
      <c r="J147" s="209" t="s">
        <v>55</v>
      </c>
      <c r="K147" s="93">
        <f>((9.3*0%)+9.3)*16250</f>
        <v>151125</v>
      </c>
      <c r="L147" s="93">
        <f t="shared" si="10"/>
        <v>72540000</v>
      </c>
      <c r="M147" s="93">
        <f t="shared" si="8"/>
        <v>72540000</v>
      </c>
      <c r="N147" s="209">
        <v>1</v>
      </c>
    </row>
    <row r="148" spans="1:14" s="104" customFormat="1" ht="25.5" x14ac:dyDescent="0.2">
      <c r="A148" s="209">
        <v>13</v>
      </c>
      <c r="B148" s="220">
        <v>5555</v>
      </c>
      <c r="C148" s="218" t="s">
        <v>25</v>
      </c>
      <c r="D148" s="218" t="s">
        <v>26</v>
      </c>
      <c r="E148" s="218" t="s">
        <v>243</v>
      </c>
      <c r="F148" s="209" t="s">
        <v>28</v>
      </c>
      <c r="G148" s="209">
        <v>30</v>
      </c>
      <c r="H148" s="209" t="s">
        <v>29</v>
      </c>
      <c r="I148" s="221" t="s">
        <v>150</v>
      </c>
      <c r="J148" s="209" t="s">
        <v>30</v>
      </c>
      <c r="K148" s="93">
        <f>(((4.5*(0+178+0)%)+4.5)+((10.5*0%)+10.5))*16250</f>
        <v>373912.49999999994</v>
      </c>
      <c r="L148" s="93">
        <f t="shared" si="10"/>
        <v>134608499.99999997</v>
      </c>
      <c r="M148" s="93">
        <f t="shared" si="8"/>
        <v>134608499.99999997</v>
      </c>
      <c r="N148" s="209">
        <v>1</v>
      </c>
    </row>
    <row r="149" spans="1:14" s="104" customFormat="1" ht="25.5" x14ac:dyDescent="0.2">
      <c r="A149" s="209">
        <v>13</v>
      </c>
      <c r="B149" s="218">
        <v>5555</v>
      </c>
      <c r="C149" s="218" t="s">
        <v>34</v>
      </c>
      <c r="D149" s="218" t="s">
        <v>35</v>
      </c>
      <c r="E149" s="218" t="s">
        <v>243</v>
      </c>
      <c r="F149" s="209" t="s">
        <v>28</v>
      </c>
      <c r="G149" s="209">
        <v>30</v>
      </c>
      <c r="H149" s="209" t="s">
        <v>36</v>
      </c>
      <c r="I149" s="221" t="s">
        <v>150</v>
      </c>
      <c r="J149" s="209" t="s">
        <v>30</v>
      </c>
      <c r="K149" s="93">
        <f>((9.3*0%)+9.3)*16250</f>
        <v>151125</v>
      </c>
      <c r="L149" s="93">
        <f t="shared" si="10"/>
        <v>54405000</v>
      </c>
      <c r="M149" s="93">
        <f t="shared" si="8"/>
        <v>54405000</v>
      </c>
      <c r="N149" s="209">
        <v>1</v>
      </c>
    </row>
    <row r="150" spans="1:14" s="104" customFormat="1" ht="38.25" customHeight="1" x14ac:dyDescent="0.2">
      <c r="A150" s="209">
        <v>13</v>
      </c>
      <c r="B150" s="220">
        <v>5556</v>
      </c>
      <c r="C150" s="218" t="s">
        <v>25</v>
      </c>
      <c r="D150" s="218" t="s">
        <v>26</v>
      </c>
      <c r="E150" s="218" t="s">
        <v>234</v>
      </c>
      <c r="F150" s="209" t="s">
        <v>28</v>
      </c>
      <c r="G150" s="209">
        <v>60</v>
      </c>
      <c r="H150" s="209" t="s">
        <v>29</v>
      </c>
      <c r="I150" s="222" t="s">
        <v>152</v>
      </c>
      <c r="J150" s="209" t="s">
        <v>32</v>
      </c>
      <c r="K150" s="93">
        <f>(((4.5*(0+20+0)%)+4.5)+((10.5*0%)+10.5))*16250</f>
        <v>258375</v>
      </c>
      <c r="L150" s="93">
        <f t="shared" si="10"/>
        <v>186030000</v>
      </c>
      <c r="M150" s="93">
        <f t="shared" si="8"/>
        <v>186030000</v>
      </c>
      <c r="N150" s="209">
        <v>1</v>
      </c>
    </row>
    <row r="151" spans="1:14" s="104" customFormat="1" ht="25.5" x14ac:dyDescent="0.2">
      <c r="A151" s="209">
        <v>13</v>
      </c>
      <c r="B151" s="218">
        <v>5556</v>
      </c>
      <c r="C151" s="218" t="s">
        <v>34</v>
      </c>
      <c r="D151" s="218" t="s">
        <v>35</v>
      </c>
      <c r="E151" s="218" t="s">
        <v>234</v>
      </c>
      <c r="F151" s="209" t="s">
        <v>28</v>
      </c>
      <c r="G151" s="209">
        <v>60</v>
      </c>
      <c r="H151" s="209" t="s">
        <v>36</v>
      </c>
      <c r="I151" s="222" t="s">
        <v>152</v>
      </c>
      <c r="J151" s="209" t="s">
        <v>32</v>
      </c>
      <c r="K151" s="93">
        <f>((9.3*0%)+9.3)*16250</f>
        <v>151125</v>
      </c>
      <c r="L151" s="93">
        <f t="shared" si="10"/>
        <v>108810000</v>
      </c>
      <c r="M151" s="93">
        <f t="shared" si="8"/>
        <v>108810000</v>
      </c>
      <c r="N151" s="209">
        <v>1</v>
      </c>
    </row>
    <row r="152" spans="1:14" s="104" customFormat="1" ht="38.25" customHeight="1" x14ac:dyDescent="0.2">
      <c r="A152" s="209">
        <v>13</v>
      </c>
      <c r="B152" s="220">
        <v>5557</v>
      </c>
      <c r="C152" s="218" t="s">
        <v>25</v>
      </c>
      <c r="D152" s="218" t="s">
        <v>46</v>
      </c>
      <c r="E152" s="218" t="s">
        <v>253</v>
      </c>
      <c r="F152" s="209" t="s">
        <v>28</v>
      </c>
      <c r="G152" s="209">
        <v>19</v>
      </c>
      <c r="H152" s="209" t="s">
        <v>29</v>
      </c>
      <c r="I152" s="221" t="s">
        <v>183</v>
      </c>
      <c r="J152" s="209" t="s">
        <v>32</v>
      </c>
      <c r="K152" s="93">
        <f>(((4.5*(0+192+0)%)+4.5)+((10.5*(0+90)%)+10.5))*16250</f>
        <v>537712.5</v>
      </c>
      <c r="L152" s="93">
        <f t="shared" si="10"/>
        <v>122598450</v>
      </c>
      <c r="M152" s="93">
        <f>L152*N152</f>
        <v>122598450</v>
      </c>
      <c r="N152" s="209">
        <v>1</v>
      </c>
    </row>
    <row r="153" spans="1:14" s="104" customFormat="1" ht="12.75" x14ac:dyDescent="0.2">
      <c r="A153" s="209">
        <v>13</v>
      </c>
      <c r="B153" s="220">
        <v>5557</v>
      </c>
      <c r="C153" s="218" t="s">
        <v>34</v>
      </c>
      <c r="D153" s="218" t="s">
        <v>35</v>
      </c>
      <c r="E153" s="218" t="s">
        <v>253</v>
      </c>
      <c r="F153" s="209" t="s">
        <v>28</v>
      </c>
      <c r="G153" s="209">
        <v>19</v>
      </c>
      <c r="H153" s="209" t="s">
        <v>36</v>
      </c>
      <c r="I153" s="221" t="s">
        <v>183</v>
      </c>
      <c r="J153" s="209" t="s">
        <v>32</v>
      </c>
      <c r="K153" s="93">
        <f>((9.3*0%)+9.3)*16250</f>
        <v>151125</v>
      </c>
      <c r="L153" s="93">
        <f t="shared" si="10"/>
        <v>34456500</v>
      </c>
      <c r="M153" s="93">
        <f t="shared" ref="M153:M163" si="11">L153*N153</f>
        <v>34456500</v>
      </c>
      <c r="N153" s="209">
        <v>1</v>
      </c>
    </row>
    <row r="154" spans="1:14" s="104" customFormat="1" ht="41.45" customHeight="1" x14ac:dyDescent="0.2">
      <c r="A154" s="209">
        <v>13</v>
      </c>
      <c r="B154" s="220">
        <v>5558</v>
      </c>
      <c r="C154" s="218" t="s">
        <v>25</v>
      </c>
      <c r="D154" s="218" t="s">
        <v>40</v>
      </c>
      <c r="E154" s="218" t="s">
        <v>205</v>
      </c>
      <c r="F154" s="209" t="s">
        <v>28</v>
      </c>
      <c r="G154" s="209">
        <v>12</v>
      </c>
      <c r="H154" s="209" t="s">
        <v>29</v>
      </c>
      <c r="I154" s="221" t="s">
        <v>259</v>
      </c>
      <c r="J154" s="209" t="s">
        <v>30</v>
      </c>
      <c r="K154" s="93">
        <f>(((4.5*(0+192+0)%)+4.5)+((10.5*(0+45)%)+10.5))*16250</f>
        <v>460931.25000000006</v>
      </c>
      <c r="L154" s="93">
        <f t="shared" si="10"/>
        <v>66374100.000000015</v>
      </c>
      <c r="M154" s="93">
        <f t="shared" si="11"/>
        <v>66374100.000000015</v>
      </c>
      <c r="N154" s="209">
        <v>1</v>
      </c>
    </row>
    <row r="155" spans="1:14" s="104" customFormat="1" ht="25.5" x14ac:dyDescent="0.2">
      <c r="A155" s="209">
        <v>13</v>
      </c>
      <c r="B155" s="218">
        <v>5558</v>
      </c>
      <c r="C155" s="218" t="s">
        <v>34</v>
      </c>
      <c r="D155" s="218" t="s">
        <v>43</v>
      </c>
      <c r="E155" s="218" t="s">
        <v>205</v>
      </c>
      <c r="F155" s="209" t="s">
        <v>28</v>
      </c>
      <c r="G155" s="209">
        <v>12</v>
      </c>
      <c r="H155" s="209" t="s">
        <v>36</v>
      </c>
      <c r="I155" s="221" t="s">
        <v>259</v>
      </c>
      <c r="J155" s="209" t="s">
        <v>30</v>
      </c>
      <c r="K155" s="96">
        <f>((9.3*0%)+9.3)*16250</f>
        <v>151125</v>
      </c>
      <c r="L155" s="93">
        <f t="shared" si="10"/>
        <v>21762000</v>
      </c>
      <c r="M155" s="93">
        <f t="shared" si="11"/>
        <v>21762000</v>
      </c>
      <c r="N155" s="209">
        <v>1</v>
      </c>
    </row>
    <row r="156" spans="1:14" s="104" customFormat="1" ht="25.5" x14ac:dyDescent="0.2">
      <c r="A156" s="209">
        <v>13</v>
      </c>
      <c r="B156" s="218">
        <v>5558</v>
      </c>
      <c r="C156" s="218" t="s">
        <v>34</v>
      </c>
      <c r="D156" s="218" t="s">
        <v>75</v>
      </c>
      <c r="E156" s="218" t="s">
        <v>205</v>
      </c>
      <c r="F156" s="209" t="s">
        <v>28</v>
      </c>
      <c r="G156" s="209">
        <v>12</v>
      </c>
      <c r="H156" s="209" t="s">
        <v>36</v>
      </c>
      <c r="I156" s="221" t="s">
        <v>259</v>
      </c>
      <c r="J156" s="209" t="s">
        <v>30</v>
      </c>
      <c r="K156" s="96">
        <f>((9.3*0%)+9.3)*16250</f>
        <v>151125</v>
      </c>
      <c r="L156" s="93">
        <f t="shared" si="10"/>
        <v>21762000</v>
      </c>
      <c r="M156" s="93">
        <f t="shared" si="11"/>
        <v>21762000</v>
      </c>
      <c r="N156" s="209">
        <v>1</v>
      </c>
    </row>
    <row r="157" spans="1:14" s="104" customFormat="1" ht="25.5" x14ac:dyDescent="0.2">
      <c r="A157" s="209">
        <v>13</v>
      </c>
      <c r="B157" s="220">
        <v>5559</v>
      </c>
      <c r="C157" s="218" t="s">
        <v>25</v>
      </c>
      <c r="D157" s="218" t="s">
        <v>128</v>
      </c>
      <c r="E157" s="218" t="s">
        <v>206</v>
      </c>
      <c r="F157" s="209" t="s">
        <v>28</v>
      </c>
      <c r="G157" s="209">
        <v>40</v>
      </c>
      <c r="H157" s="209" t="s">
        <v>29</v>
      </c>
      <c r="I157" s="221" t="s">
        <v>150</v>
      </c>
      <c r="J157" s="209" t="s">
        <v>30</v>
      </c>
      <c r="K157" s="93">
        <f>(((4.5*(0+178+0)%)+4.5)+((10.5*0%)+10.5))*16250</f>
        <v>373912.49999999994</v>
      </c>
      <c r="L157" s="93">
        <f t="shared" si="10"/>
        <v>179477999.99999997</v>
      </c>
      <c r="M157" s="96">
        <f t="shared" si="11"/>
        <v>179477999.99999997</v>
      </c>
      <c r="N157" s="209">
        <v>1</v>
      </c>
    </row>
    <row r="158" spans="1:14" s="104" customFormat="1" ht="72.75" customHeight="1" x14ac:dyDescent="0.2">
      <c r="A158" s="209">
        <v>13</v>
      </c>
      <c r="B158" s="218">
        <v>5560</v>
      </c>
      <c r="C158" s="218" t="s">
        <v>25</v>
      </c>
      <c r="D158" s="218" t="s">
        <v>46</v>
      </c>
      <c r="E158" s="218" t="s">
        <v>205</v>
      </c>
      <c r="F158" s="209" t="s">
        <v>28</v>
      </c>
      <c r="G158" s="209">
        <v>12</v>
      </c>
      <c r="H158" s="209" t="s">
        <v>29</v>
      </c>
      <c r="I158" s="221" t="s">
        <v>183</v>
      </c>
      <c r="J158" s="209" t="s">
        <v>32</v>
      </c>
      <c r="K158" s="93">
        <f>(((4.5*(0+192+0)%)+4.5)+((10.5*(0+90)%)+10.5))*16250</f>
        <v>537712.5</v>
      </c>
      <c r="L158" s="93">
        <f t="shared" si="10"/>
        <v>77430600</v>
      </c>
      <c r="M158" s="96">
        <f t="shared" si="11"/>
        <v>77430600</v>
      </c>
      <c r="N158" s="209">
        <v>1</v>
      </c>
    </row>
    <row r="159" spans="1:14" s="104" customFormat="1" ht="65.25" customHeight="1" x14ac:dyDescent="0.2">
      <c r="A159" s="209">
        <v>13</v>
      </c>
      <c r="B159" s="218">
        <v>5560</v>
      </c>
      <c r="C159" s="218" t="s">
        <v>34</v>
      </c>
      <c r="D159" s="218" t="s">
        <v>35</v>
      </c>
      <c r="E159" s="218" t="s">
        <v>205</v>
      </c>
      <c r="F159" s="209" t="s">
        <v>28</v>
      </c>
      <c r="G159" s="209">
        <v>12</v>
      </c>
      <c r="H159" s="209" t="s">
        <v>36</v>
      </c>
      <c r="I159" s="221" t="s">
        <v>183</v>
      </c>
      <c r="J159" s="209" t="s">
        <v>32</v>
      </c>
      <c r="K159" s="96">
        <f>((9.3*0%)+9.3)*16250</f>
        <v>151125</v>
      </c>
      <c r="L159" s="93">
        <f t="shared" si="10"/>
        <v>21762000</v>
      </c>
      <c r="M159" s="96">
        <f t="shared" si="11"/>
        <v>21762000</v>
      </c>
      <c r="N159" s="209">
        <v>1</v>
      </c>
    </row>
    <row r="160" spans="1:14" s="104" customFormat="1" ht="35.25" customHeight="1" x14ac:dyDescent="0.2">
      <c r="A160" s="183">
        <v>13</v>
      </c>
      <c r="B160" s="218">
        <v>5561</v>
      </c>
      <c r="C160" s="218" t="s">
        <v>25</v>
      </c>
      <c r="D160" s="218" t="s">
        <v>256</v>
      </c>
      <c r="E160" s="218" t="s">
        <v>219</v>
      </c>
      <c r="F160" s="209" t="s">
        <v>28</v>
      </c>
      <c r="G160" s="209">
        <v>20</v>
      </c>
      <c r="H160" s="209" t="s">
        <v>29</v>
      </c>
      <c r="I160" s="222" t="s">
        <v>149</v>
      </c>
      <c r="J160" s="209" t="s">
        <v>32</v>
      </c>
      <c r="K160" s="93">
        <f>(((4.5*(0+192+0)%)+4.5)+((10.5*(0+90)%)+10.5))*16250</f>
        <v>537712.5</v>
      </c>
      <c r="L160" s="93">
        <f t="shared" si="10"/>
        <v>129051000</v>
      </c>
      <c r="M160" s="96">
        <f t="shared" si="11"/>
        <v>129051000</v>
      </c>
      <c r="N160" s="209">
        <v>1</v>
      </c>
    </row>
    <row r="161" spans="1:14" s="104" customFormat="1" ht="35.25" customHeight="1" x14ac:dyDescent="0.2">
      <c r="A161" s="183">
        <v>13</v>
      </c>
      <c r="B161" s="218">
        <v>5561</v>
      </c>
      <c r="C161" s="218" t="s">
        <v>34</v>
      </c>
      <c r="D161" s="218" t="s">
        <v>35</v>
      </c>
      <c r="E161" s="218" t="s">
        <v>219</v>
      </c>
      <c r="F161" s="209" t="s">
        <v>28</v>
      </c>
      <c r="G161" s="209">
        <v>20</v>
      </c>
      <c r="H161" s="209" t="s">
        <v>36</v>
      </c>
      <c r="I161" s="222" t="s">
        <v>149</v>
      </c>
      <c r="J161" s="209" t="s">
        <v>32</v>
      </c>
      <c r="K161" s="96">
        <f>((9.3*0%)+9.3)*16250</f>
        <v>151125</v>
      </c>
      <c r="L161" s="93">
        <f t="shared" si="10"/>
        <v>36270000</v>
      </c>
      <c r="M161" s="96">
        <f t="shared" si="11"/>
        <v>36270000</v>
      </c>
      <c r="N161" s="209">
        <v>1</v>
      </c>
    </row>
    <row r="162" spans="1:14" s="104" customFormat="1" ht="37.5" customHeight="1" x14ac:dyDescent="0.2">
      <c r="A162" s="183">
        <v>13</v>
      </c>
      <c r="B162" s="218">
        <v>5562</v>
      </c>
      <c r="C162" s="218" t="s">
        <v>25</v>
      </c>
      <c r="D162" s="218" t="s">
        <v>256</v>
      </c>
      <c r="E162" s="218" t="s">
        <v>219</v>
      </c>
      <c r="F162" s="209" t="s">
        <v>28</v>
      </c>
      <c r="G162" s="209">
        <v>20</v>
      </c>
      <c r="H162" s="209" t="s">
        <v>29</v>
      </c>
      <c r="I162" s="221" t="s">
        <v>183</v>
      </c>
      <c r="J162" s="209" t="s">
        <v>32</v>
      </c>
      <c r="K162" s="93">
        <f>(((4.5*(0+192+0)%)+4.5)+((10.5*(0+90)%)+10.5))*16250</f>
        <v>537712.5</v>
      </c>
      <c r="L162" s="93">
        <f t="shared" si="10"/>
        <v>129051000</v>
      </c>
      <c r="M162" s="96">
        <f t="shared" si="11"/>
        <v>129051000</v>
      </c>
      <c r="N162" s="209">
        <v>1</v>
      </c>
    </row>
    <row r="163" spans="1:14" s="104" customFormat="1" ht="37.5" customHeight="1" x14ac:dyDescent="0.2">
      <c r="A163" s="183">
        <v>13</v>
      </c>
      <c r="B163" s="218">
        <v>5562</v>
      </c>
      <c r="C163" s="218" t="s">
        <v>34</v>
      </c>
      <c r="D163" s="218" t="s">
        <v>35</v>
      </c>
      <c r="E163" s="218" t="s">
        <v>219</v>
      </c>
      <c r="F163" s="209" t="s">
        <v>28</v>
      </c>
      <c r="G163" s="209">
        <v>20</v>
      </c>
      <c r="H163" s="209" t="s">
        <v>36</v>
      </c>
      <c r="I163" s="221" t="s">
        <v>183</v>
      </c>
      <c r="J163" s="209" t="s">
        <v>32</v>
      </c>
      <c r="K163" s="96">
        <f>((9.3*0%)+9.3)*16250</f>
        <v>151125</v>
      </c>
      <c r="L163" s="93">
        <f t="shared" si="10"/>
        <v>36270000</v>
      </c>
      <c r="M163" s="96">
        <f t="shared" si="11"/>
        <v>36270000</v>
      </c>
      <c r="N163" s="209">
        <v>1</v>
      </c>
    </row>
    <row r="164" spans="1:14" s="104" customFormat="1" ht="47.25" customHeight="1" x14ac:dyDescent="0.2">
      <c r="A164" s="209">
        <v>13</v>
      </c>
      <c r="B164" s="218">
        <v>5563</v>
      </c>
      <c r="C164" s="218" t="s">
        <v>25</v>
      </c>
      <c r="D164" s="218" t="s">
        <v>26</v>
      </c>
      <c r="E164" s="218" t="s">
        <v>205</v>
      </c>
      <c r="F164" s="209" t="s">
        <v>28</v>
      </c>
      <c r="G164" s="209">
        <v>20</v>
      </c>
      <c r="H164" s="209" t="s">
        <v>29</v>
      </c>
      <c r="I164" s="221" t="s">
        <v>150</v>
      </c>
      <c r="J164" s="209" t="s">
        <v>32</v>
      </c>
      <c r="K164" s="93">
        <f>(((4.5*(0+192)%)+4.5)+((10.5*0%)+10.5))*16250</f>
        <v>384150</v>
      </c>
      <c r="L164" s="93">
        <f t="shared" si="10"/>
        <v>92196000</v>
      </c>
      <c r="M164" s="93">
        <f>L164*N164</f>
        <v>92196000</v>
      </c>
      <c r="N164" s="209">
        <v>1</v>
      </c>
    </row>
    <row r="165" spans="1:14" s="104" customFormat="1" ht="48" customHeight="1" x14ac:dyDescent="0.2">
      <c r="A165" s="209">
        <v>13</v>
      </c>
      <c r="B165" s="218">
        <v>5563</v>
      </c>
      <c r="C165" s="218" t="s">
        <v>34</v>
      </c>
      <c r="D165" s="218" t="s">
        <v>35</v>
      </c>
      <c r="E165" s="218" t="s">
        <v>205</v>
      </c>
      <c r="F165" s="209" t="s">
        <v>28</v>
      </c>
      <c r="G165" s="209">
        <v>20</v>
      </c>
      <c r="H165" s="209" t="s">
        <v>36</v>
      </c>
      <c r="I165" s="221" t="s">
        <v>150</v>
      </c>
      <c r="J165" s="209" t="s">
        <v>32</v>
      </c>
      <c r="K165" s="93">
        <f>((9.3*0%)+9.3)*16250</f>
        <v>151125</v>
      </c>
      <c r="L165" s="93">
        <f t="shared" si="10"/>
        <v>36270000</v>
      </c>
      <c r="M165" s="93">
        <f t="shared" ref="M165:M178" si="12">L165*N165</f>
        <v>36270000</v>
      </c>
      <c r="N165" s="209">
        <v>1</v>
      </c>
    </row>
    <row r="166" spans="1:14" s="165" customFormat="1" ht="76.5" customHeight="1" x14ac:dyDescent="0.25">
      <c r="A166" s="209">
        <v>14</v>
      </c>
      <c r="B166" s="218">
        <v>5564</v>
      </c>
      <c r="C166" s="218" t="s">
        <v>25</v>
      </c>
      <c r="D166" s="218" t="s">
        <v>26</v>
      </c>
      <c r="E166" s="218" t="s">
        <v>119</v>
      </c>
      <c r="F166" s="210" t="s">
        <v>28</v>
      </c>
      <c r="G166" s="210">
        <v>20</v>
      </c>
      <c r="H166" s="210" t="s">
        <v>29</v>
      </c>
      <c r="I166" s="222" t="s">
        <v>152</v>
      </c>
      <c r="J166" s="210" t="s">
        <v>30</v>
      </c>
      <c r="K166" s="217">
        <f>(((4.5*(14+192)%)+4.5)+((10.5*14%)+10.5))*16250</f>
        <v>418275.00000000006</v>
      </c>
      <c r="L166" s="93">
        <f t="shared" si="10"/>
        <v>100386000.00000001</v>
      </c>
      <c r="M166" s="26">
        <f t="shared" si="12"/>
        <v>100386000.00000001</v>
      </c>
      <c r="N166" s="210">
        <v>1</v>
      </c>
    </row>
    <row r="167" spans="1:14" s="165" customFormat="1" ht="76.5" customHeight="1" x14ac:dyDescent="0.25">
      <c r="A167" s="209">
        <v>14</v>
      </c>
      <c r="B167" s="220">
        <v>5564</v>
      </c>
      <c r="C167" s="218" t="s">
        <v>34</v>
      </c>
      <c r="D167" s="218" t="s">
        <v>35</v>
      </c>
      <c r="E167" s="218" t="s">
        <v>119</v>
      </c>
      <c r="F167" s="210" t="s">
        <v>28</v>
      </c>
      <c r="G167" s="210">
        <v>20</v>
      </c>
      <c r="H167" s="210" t="s">
        <v>36</v>
      </c>
      <c r="I167" s="222" t="s">
        <v>152</v>
      </c>
      <c r="J167" s="210" t="s">
        <v>30</v>
      </c>
      <c r="K167" s="217">
        <f>((9.3*14%)+9.3)*16250</f>
        <v>172282.5</v>
      </c>
      <c r="L167" s="93">
        <f t="shared" si="10"/>
        <v>41347800</v>
      </c>
      <c r="M167" s="26">
        <f t="shared" si="12"/>
        <v>41347800</v>
      </c>
      <c r="N167" s="210">
        <v>1</v>
      </c>
    </row>
    <row r="168" spans="1:14" s="165" customFormat="1" ht="76.5" customHeight="1" x14ac:dyDescent="0.25">
      <c r="A168" s="209">
        <v>14</v>
      </c>
      <c r="B168" s="218">
        <v>5565</v>
      </c>
      <c r="C168" s="218" t="s">
        <v>25</v>
      </c>
      <c r="D168" s="218" t="s">
        <v>26</v>
      </c>
      <c r="E168" s="218" t="s">
        <v>122</v>
      </c>
      <c r="F168" s="210" t="s">
        <v>28</v>
      </c>
      <c r="G168" s="210">
        <v>20</v>
      </c>
      <c r="H168" s="210" t="s">
        <v>29</v>
      </c>
      <c r="I168" s="222" t="s">
        <v>152</v>
      </c>
      <c r="J168" s="210" t="s">
        <v>30</v>
      </c>
      <c r="K168" s="217">
        <f>(((4.5*(14+192)%)+4.5)+((10.5*14%)+10.5))*16250</f>
        <v>418275.00000000006</v>
      </c>
      <c r="L168" s="93">
        <f t="shared" si="10"/>
        <v>100386000.00000001</v>
      </c>
      <c r="M168" s="26">
        <f t="shared" si="12"/>
        <v>100386000.00000001</v>
      </c>
      <c r="N168" s="210">
        <v>1</v>
      </c>
    </row>
    <row r="169" spans="1:14" s="165" customFormat="1" ht="76.5" customHeight="1" x14ac:dyDescent="0.25">
      <c r="A169" s="209">
        <v>14</v>
      </c>
      <c r="B169" s="220">
        <v>5565</v>
      </c>
      <c r="C169" s="218" t="s">
        <v>34</v>
      </c>
      <c r="D169" s="218" t="s">
        <v>35</v>
      </c>
      <c r="E169" s="218" t="s">
        <v>122</v>
      </c>
      <c r="F169" s="210" t="s">
        <v>28</v>
      </c>
      <c r="G169" s="210">
        <v>20</v>
      </c>
      <c r="H169" s="210" t="s">
        <v>36</v>
      </c>
      <c r="I169" s="222" t="s">
        <v>152</v>
      </c>
      <c r="J169" s="210" t="s">
        <v>30</v>
      </c>
      <c r="K169" s="217">
        <f>((9.3*14%)+9.3)*16250</f>
        <v>172282.5</v>
      </c>
      <c r="L169" s="93">
        <f t="shared" ref="L169:L181" si="13">K169*G169*12</f>
        <v>41347800</v>
      </c>
      <c r="M169" s="26">
        <f t="shared" si="12"/>
        <v>41347800</v>
      </c>
      <c r="N169" s="210">
        <v>1</v>
      </c>
    </row>
    <row r="170" spans="1:14" s="165" customFormat="1" ht="76.5" customHeight="1" x14ac:dyDescent="0.25">
      <c r="A170" s="209">
        <v>14</v>
      </c>
      <c r="B170" s="218">
        <v>5566</v>
      </c>
      <c r="C170" s="218" t="s">
        <v>25</v>
      </c>
      <c r="D170" s="218" t="s">
        <v>46</v>
      </c>
      <c r="E170" s="218" t="s">
        <v>270</v>
      </c>
      <c r="F170" s="210" t="s">
        <v>271</v>
      </c>
      <c r="G170" s="210">
        <v>20</v>
      </c>
      <c r="H170" s="209" t="s">
        <v>29</v>
      </c>
      <c r="I170" s="222" t="s">
        <v>148</v>
      </c>
      <c r="J170" s="210" t="s">
        <v>32</v>
      </c>
      <c r="K170" s="26">
        <f>(((4.5*(14+192+0)%)+4.5)+((10.5*(14+90)%)+10.5))*16250</f>
        <v>571837.5</v>
      </c>
      <c r="L170" s="93">
        <f t="shared" si="13"/>
        <v>137241000</v>
      </c>
      <c r="M170" s="26">
        <f t="shared" si="12"/>
        <v>137241000</v>
      </c>
      <c r="N170" s="210">
        <v>1</v>
      </c>
    </row>
    <row r="171" spans="1:14" s="165" customFormat="1" ht="76.5" customHeight="1" x14ac:dyDescent="0.25">
      <c r="A171" s="209">
        <v>14</v>
      </c>
      <c r="B171" s="220">
        <v>5566</v>
      </c>
      <c r="C171" s="218" t="s">
        <v>34</v>
      </c>
      <c r="D171" s="218" t="s">
        <v>35</v>
      </c>
      <c r="E171" s="218" t="s">
        <v>270</v>
      </c>
      <c r="F171" s="210" t="s">
        <v>271</v>
      </c>
      <c r="G171" s="210">
        <v>20</v>
      </c>
      <c r="H171" s="210" t="s">
        <v>36</v>
      </c>
      <c r="I171" s="222" t="s">
        <v>148</v>
      </c>
      <c r="J171" s="210" t="s">
        <v>32</v>
      </c>
      <c r="K171" s="217">
        <f>((9.3*14%)+9.3)*16250</f>
        <v>172282.5</v>
      </c>
      <c r="L171" s="93">
        <f t="shared" si="13"/>
        <v>41347800</v>
      </c>
      <c r="M171" s="26">
        <f t="shared" si="12"/>
        <v>41347800</v>
      </c>
      <c r="N171" s="210">
        <v>1</v>
      </c>
    </row>
    <row r="172" spans="1:14" s="165" customFormat="1" ht="51" customHeight="1" x14ac:dyDescent="0.25">
      <c r="A172" s="209">
        <v>14</v>
      </c>
      <c r="B172" s="218">
        <v>5567</v>
      </c>
      <c r="C172" s="218" t="s">
        <v>25</v>
      </c>
      <c r="D172" s="218" t="s">
        <v>40</v>
      </c>
      <c r="E172" s="218" t="s">
        <v>122</v>
      </c>
      <c r="F172" s="210" t="s">
        <v>28</v>
      </c>
      <c r="G172" s="210">
        <v>20</v>
      </c>
      <c r="H172" s="210" t="s">
        <v>29</v>
      </c>
      <c r="I172" s="222" t="s">
        <v>259</v>
      </c>
      <c r="J172" s="210" t="s">
        <v>55</v>
      </c>
      <c r="K172" s="26">
        <f>(((4.5*(14+192+0)%)+4.5)+((10.5*(14+45)%)+10.5))*16250</f>
        <v>495056.25</v>
      </c>
      <c r="L172" s="93">
        <f t="shared" si="13"/>
        <v>118813500</v>
      </c>
      <c r="M172" s="26">
        <f t="shared" si="12"/>
        <v>118813500</v>
      </c>
      <c r="N172" s="210">
        <v>1</v>
      </c>
    </row>
    <row r="173" spans="1:14" s="165" customFormat="1" ht="51" customHeight="1" x14ac:dyDescent="0.25">
      <c r="A173" s="209">
        <v>14</v>
      </c>
      <c r="B173" s="220">
        <v>5567</v>
      </c>
      <c r="C173" s="218" t="s">
        <v>34</v>
      </c>
      <c r="D173" s="218" t="s">
        <v>43</v>
      </c>
      <c r="E173" s="218" t="s">
        <v>122</v>
      </c>
      <c r="F173" s="210" t="s">
        <v>28</v>
      </c>
      <c r="G173" s="210">
        <v>20</v>
      </c>
      <c r="H173" s="210" t="s">
        <v>36</v>
      </c>
      <c r="I173" s="222" t="s">
        <v>259</v>
      </c>
      <c r="J173" s="210" t="s">
        <v>55</v>
      </c>
      <c r="K173" s="217">
        <f>((9.3*14%)+9.3)*16250</f>
        <v>172282.5</v>
      </c>
      <c r="L173" s="93">
        <f t="shared" si="13"/>
        <v>41347800</v>
      </c>
      <c r="M173" s="26">
        <f t="shared" si="12"/>
        <v>41347800</v>
      </c>
      <c r="N173" s="210">
        <v>1</v>
      </c>
    </row>
    <row r="174" spans="1:14" s="165" customFormat="1" ht="48.75" customHeight="1" x14ac:dyDescent="0.25">
      <c r="A174" s="209">
        <v>14</v>
      </c>
      <c r="B174" s="220">
        <v>5567</v>
      </c>
      <c r="C174" s="218" t="s">
        <v>34</v>
      </c>
      <c r="D174" s="218" t="s">
        <v>75</v>
      </c>
      <c r="E174" s="218" t="s">
        <v>122</v>
      </c>
      <c r="F174" s="210" t="s">
        <v>28</v>
      </c>
      <c r="G174" s="210">
        <v>20</v>
      </c>
      <c r="H174" s="210" t="s">
        <v>36</v>
      </c>
      <c r="I174" s="222" t="s">
        <v>259</v>
      </c>
      <c r="J174" s="210" t="s">
        <v>55</v>
      </c>
      <c r="K174" s="217">
        <f>((9.3*14%)+9.3)*16250</f>
        <v>172282.5</v>
      </c>
      <c r="L174" s="93">
        <f t="shared" si="13"/>
        <v>41347800</v>
      </c>
      <c r="M174" s="26">
        <f t="shared" si="12"/>
        <v>41347800</v>
      </c>
      <c r="N174" s="210">
        <v>1</v>
      </c>
    </row>
    <row r="175" spans="1:14" s="23" customFormat="1" ht="63" customHeight="1" x14ac:dyDescent="0.2">
      <c r="A175" s="209">
        <v>15</v>
      </c>
      <c r="B175" s="220">
        <v>5568</v>
      </c>
      <c r="C175" s="218" t="s">
        <v>25</v>
      </c>
      <c r="D175" s="218" t="s">
        <v>26</v>
      </c>
      <c r="E175" s="218" t="s">
        <v>153</v>
      </c>
      <c r="F175" s="210" t="s">
        <v>28</v>
      </c>
      <c r="G175" s="210">
        <v>20</v>
      </c>
      <c r="H175" s="210" t="s">
        <v>29</v>
      </c>
      <c r="I175" s="221" t="s">
        <v>151</v>
      </c>
      <c r="J175" s="210" t="s">
        <v>32</v>
      </c>
      <c r="K175" s="217">
        <f>(((4.5*(28+192)%)+4.5)+((10.5*28%)+10.5))*16250</f>
        <v>452400.00000000006</v>
      </c>
      <c r="L175" s="93">
        <f t="shared" si="13"/>
        <v>108576000.00000003</v>
      </c>
      <c r="M175" s="26">
        <f t="shared" si="12"/>
        <v>108576000.00000003</v>
      </c>
      <c r="N175" s="210">
        <v>1</v>
      </c>
    </row>
    <row r="176" spans="1:14" s="23" customFormat="1" ht="60" customHeight="1" x14ac:dyDescent="0.2">
      <c r="A176" s="209">
        <v>15</v>
      </c>
      <c r="B176" s="220">
        <v>5568</v>
      </c>
      <c r="C176" s="218" t="s">
        <v>34</v>
      </c>
      <c r="D176" s="218" t="s">
        <v>35</v>
      </c>
      <c r="E176" s="218" t="s">
        <v>153</v>
      </c>
      <c r="F176" s="210" t="s">
        <v>28</v>
      </c>
      <c r="G176" s="210">
        <v>20</v>
      </c>
      <c r="H176" s="210" t="s">
        <v>36</v>
      </c>
      <c r="I176" s="221" t="s">
        <v>151</v>
      </c>
      <c r="J176" s="210" t="s">
        <v>32</v>
      </c>
      <c r="K176" s="217">
        <f>((9.3*28%)+9.3)*16250</f>
        <v>193440.00000000003</v>
      </c>
      <c r="L176" s="93">
        <f t="shared" si="13"/>
        <v>46425600.000000007</v>
      </c>
      <c r="M176" s="26">
        <f t="shared" si="12"/>
        <v>46425600.000000007</v>
      </c>
      <c r="N176" s="210">
        <v>1</v>
      </c>
    </row>
    <row r="177" spans="1:14" s="23" customFormat="1" ht="51" customHeight="1" x14ac:dyDescent="0.2">
      <c r="A177" s="209">
        <v>15</v>
      </c>
      <c r="B177" s="218">
        <v>5569</v>
      </c>
      <c r="C177" s="218" t="s">
        <v>25</v>
      </c>
      <c r="D177" s="218" t="s">
        <v>46</v>
      </c>
      <c r="E177" s="218" t="s">
        <v>153</v>
      </c>
      <c r="F177" s="210" t="s">
        <v>28</v>
      </c>
      <c r="G177" s="210">
        <v>30</v>
      </c>
      <c r="H177" s="210" t="s">
        <v>29</v>
      </c>
      <c r="I177" s="222" t="s">
        <v>148</v>
      </c>
      <c r="J177" s="210" t="s">
        <v>32</v>
      </c>
      <c r="K177" s="26">
        <f>(((4.5*(28+178+0)%)+4.5)+((10.5*(28+90)%)+10.5))*16250</f>
        <v>595725</v>
      </c>
      <c r="L177" s="93">
        <f t="shared" si="13"/>
        <v>214461000</v>
      </c>
      <c r="M177" s="26">
        <f t="shared" si="12"/>
        <v>214461000</v>
      </c>
      <c r="N177" s="210">
        <v>1</v>
      </c>
    </row>
    <row r="178" spans="1:14" s="23" customFormat="1" ht="51" customHeight="1" x14ac:dyDescent="0.2">
      <c r="A178" s="209">
        <v>15</v>
      </c>
      <c r="B178" s="218">
        <v>5569</v>
      </c>
      <c r="C178" s="218" t="s">
        <v>34</v>
      </c>
      <c r="D178" s="218" t="s">
        <v>35</v>
      </c>
      <c r="E178" s="218" t="s">
        <v>153</v>
      </c>
      <c r="F178" s="210" t="s">
        <v>28</v>
      </c>
      <c r="G178" s="210">
        <v>30</v>
      </c>
      <c r="H178" s="210" t="s">
        <v>36</v>
      </c>
      <c r="I178" s="222" t="s">
        <v>148</v>
      </c>
      <c r="J178" s="210" t="s">
        <v>32</v>
      </c>
      <c r="K178" s="217">
        <f>((9.3*28%)+9.3)*16250</f>
        <v>193440.00000000003</v>
      </c>
      <c r="L178" s="93">
        <f t="shared" si="13"/>
        <v>69638400.000000015</v>
      </c>
      <c r="M178" s="26">
        <f t="shared" si="12"/>
        <v>69638400.000000015</v>
      </c>
      <c r="N178" s="210">
        <v>1</v>
      </c>
    </row>
    <row r="179" spans="1:14" s="118" customFormat="1" ht="51" customHeight="1" x14ac:dyDescent="0.25">
      <c r="A179" s="210">
        <v>16</v>
      </c>
      <c r="B179" s="218">
        <v>5570</v>
      </c>
      <c r="C179" s="218" t="s">
        <v>25</v>
      </c>
      <c r="D179" s="218" t="s">
        <v>40</v>
      </c>
      <c r="E179" s="218" t="s">
        <v>184</v>
      </c>
      <c r="F179" s="210" t="s">
        <v>28</v>
      </c>
      <c r="G179" s="210">
        <v>20</v>
      </c>
      <c r="H179" s="210" t="s">
        <v>29</v>
      </c>
      <c r="I179" s="222" t="s">
        <v>259</v>
      </c>
      <c r="J179" s="210" t="s">
        <v>32</v>
      </c>
      <c r="K179" s="217">
        <f>(((4.5*(14+192)%)+4.5)+((10.5*14%)+10.5))*16250</f>
        <v>418275.00000000006</v>
      </c>
      <c r="L179" s="93">
        <f t="shared" si="13"/>
        <v>100386000.00000001</v>
      </c>
      <c r="M179" s="26">
        <f>(L179*N179)</f>
        <v>100386000.00000001</v>
      </c>
      <c r="N179" s="210">
        <v>1</v>
      </c>
    </row>
    <row r="180" spans="1:14" s="118" customFormat="1" ht="51" customHeight="1" x14ac:dyDescent="0.25">
      <c r="A180" s="210">
        <v>16</v>
      </c>
      <c r="B180" s="218">
        <v>5570</v>
      </c>
      <c r="C180" s="218" t="s">
        <v>34</v>
      </c>
      <c r="D180" s="218" t="s">
        <v>43</v>
      </c>
      <c r="E180" s="218" t="s">
        <v>184</v>
      </c>
      <c r="F180" s="210" t="s">
        <v>28</v>
      </c>
      <c r="G180" s="210">
        <v>20</v>
      </c>
      <c r="H180" s="210" t="s">
        <v>36</v>
      </c>
      <c r="I180" s="222" t="s">
        <v>259</v>
      </c>
      <c r="J180" s="210" t="s">
        <v>32</v>
      </c>
      <c r="K180" s="217">
        <f>((9.3*14%)+9.3)*16250</f>
        <v>172282.5</v>
      </c>
      <c r="L180" s="93">
        <f t="shared" si="13"/>
        <v>41347800</v>
      </c>
      <c r="M180" s="26">
        <f>(L180*N180)</f>
        <v>41347800</v>
      </c>
      <c r="N180" s="210">
        <v>1</v>
      </c>
    </row>
    <row r="181" spans="1:14" s="118" customFormat="1" ht="51" customHeight="1" x14ac:dyDescent="0.25">
      <c r="A181" s="210">
        <v>16</v>
      </c>
      <c r="B181" s="218">
        <v>5570</v>
      </c>
      <c r="C181" s="218" t="s">
        <v>34</v>
      </c>
      <c r="D181" s="218" t="s">
        <v>75</v>
      </c>
      <c r="E181" s="218" t="s">
        <v>184</v>
      </c>
      <c r="F181" s="210" t="s">
        <v>28</v>
      </c>
      <c r="G181" s="210">
        <v>20</v>
      </c>
      <c r="H181" s="210" t="s">
        <v>36</v>
      </c>
      <c r="I181" s="222" t="s">
        <v>259</v>
      </c>
      <c r="J181" s="210" t="s">
        <v>32</v>
      </c>
      <c r="K181" s="208">
        <f>((9.3*14%)+9.3)*16250</f>
        <v>172282.5</v>
      </c>
      <c r="L181" s="93">
        <f t="shared" si="13"/>
        <v>41347800</v>
      </c>
      <c r="M181" s="26">
        <f>(L181*N181)</f>
        <v>41347800</v>
      </c>
      <c r="N181" s="210">
        <v>1</v>
      </c>
    </row>
    <row r="182" spans="1:14" ht="30" customHeight="1" x14ac:dyDescent="0.25">
      <c r="B182" s="15"/>
      <c r="L182" s="73"/>
      <c r="M182" s="73"/>
      <c r="N182" s="73"/>
    </row>
  </sheetData>
  <autoFilter ref="A3:N181"/>
  <mergeCells count="1">
    <mergeCell ref="A2:N2"/>
  </mergeCells>
  <pageMargins left="0.70866141732283472" right="0.70866141732283472" top="0.74803149606299213" bottom="0.74803149606299213" header="0.31496062992125984" footer="0.31496062992125984"/>
  <pageSetup paperSize="14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96"/>
  <sheetViews>
    <sheetView workbookViewId="0"/>
  </sheetViews>
  <sheetFormatPr baseColWidth="10" defaultColWidth="11.42578125" defaultRowHeight="15" x14ac:dyDescent="0.25"/>
  <cols>
    <col min="1" max="1" width="38.85546875" style="79" customWidth="1"/>
    <col min="2" max="2" width="24.7109375" style="79" customWidth="1"/>
    <col min="3" max="3" width="10" style="79" customWidth="1"/>
    <col min="4" max="4" width="9" style="79" customWidth="1"/>
    <col min="5" max="5" width="10" style="79" customWidth="1"/>
    <col min="6" max="6" width="11" style="79" customWidth="1"/>
    <col min="7" max="7" width="10" style="79" customWidth="1"/>
    <col min="8" max="8" width="11" style="79" customWidth="1"/>
    <col min="9" max="9" width="10" style="79" customWidth="1"/>
    <col min="10" max="10" width="11" style="79" customWidth="1"/>
    <col min="11" max="12" width="10" style="79" customWidth="1"/>
    <col min="13" max="13" width="11" style="79" customWidth="1"/>
    <col min="14" max="14" width="12.5703125" style="79" customWidth="1"/>
    <col min="15" max="15" width="38.85546875" style="79" customWidth="1"/>
    <col min="16" max="16" width="19.85546875" style="79" customWidth="1"/>
    <col min="17" max="17" width="38.85546875" style="79" customWidth="1"/>
    <col min="18" max="18" width="19.85546875" style="79" customWidth="1"/>
    <col min="19" max="19" width="38.85546875" style="79" customWidth="1"/>
    <col min="20" max="20" width="19.85546875" style="79" customWidth="1"/>
    <col min="21" max="21" width="38.85546875" style="79" customWidth="1"/>
    <col min="22" max="22" width="19.85546875" style="79" customWidth="1"/>
    <col min="23" max="23" width="38.85546875" style="79" customWidth="1"/>
    <col min="24" max="24" width="19.85546875" style="79" customWidth="1"/>
    <col min="25" max="25" width="38.85546875" style="79" customWidth="1"/>
    <col min="26" max="26" width="24.85546875" style="79" customWidth="1"/>
    <col min="27" max="27" width="43.85546875" style="79" customWidth="1"/>
    <col min="28" max="28" width="7.5703125" style="79" customWidth="1"/>
    <col min="29" max="29" width="49.28515625" style="79" bestFit="1" customWidth="1"/>
    <col min="30" max="30" width="4.28515625" style="79" customWidth="1"/>
    <col min="31" max="31" width="4.140625" style="79" customWidth="1"/>
    <col min="32" max="32" width="5.140625" style="79" customWidth="1"/>
    <col min="33" max="33" width="15.85546875" style="79" bestFit="1" customWidth="1"/>
    <col min="34" max="34" width="12.5703125" style="79" bestFit="1" customWidth="1"/>
    <col min="35" max="16384" width="11.42578125" style="79"/>
  </cols>
  <sheetData>
    <row r="2" spans="1:27" x14ac:dyDescent="0.25">
      <c r="B2" s="232" t="s">
        <v>291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27" x14ac:dyDescent="0.25">
      <c r="A3" s="187" t="s">
        <v>296</v>
      </c>
      <c r="B3" s="187" t="s">
        <v>289</v>
      </c>
      <c r="O3"/>
      <c r="P3"/>
      <c r="Q3"/>
      <c r="R3"/>
      <c r="S3"/>
      <c r="T3"/>
      <c r="U3"/>
      <c r="V3"/>
      <c r="W3"/>
      <c r="X3"/>
      <c r="Y3"/>
      <c r="Z3"/>
      <c r="AA3"/>
    </row>
    <row r="4" spans="1:27" x14ac:dyDescent="0.25">
      <c r="A4" s="187" t="s">
        <v>287</v>
      </c>
      <c r="B4" s="79" t="s">
        <v>35</v>
      </c>
      <c r="C4" s="79" t="s">
        <v>75</v>
      </c>
      <c r="D4" s="79" t="s">
        <v>45</v>
      </c>
      <c r="E4" s="79" t="s">
        <v>43</v>
      </c>
      <c r="F4" s="79" t="s">
        <v>26</v>
      </c>
      <c r="G4" s="79" t="s">
        <v>39</v>
      </c>
      <c r="H4" s="79" t="s">
        <v>46</v>
      </c>
      <c r="I4" s="79" t="s">
        <v>256</v>
      </c>
      <c r="J4" s="79" t="s">
        <v>40</v>
      </c>
      <c r="K4" s="79" t="s">
        <v>128</v>
      </c>
      <c r="L4" s="79" t="s">
        <v>41</v>
      </c>
      <c r="M4" s="79" t="s">
        <v>290</v>
      </c>
      <c r="N4" s="79" t="s">
        <v>288</v>
      </c>
      <c r="O4"/>
      <c r="P4"/>
      <c r="Q4"/>
      <c r="R4"/>
      <c r="S4"/>
      <c r="T4"/>
      <c r="U4"/>
      <c r="V4"/>
      <c r="W4"/>
      <c r="X4"/>
      <c r="Y4"/>
      <c r="Z4"/>
      <c r="AA4"/>
    </row>
    <row r="5" spans="1:27" x14ac:dyDescent="0.25">
      <c r="A5" s="79">
        <v>1</v>
      </c>
      <c r="B5" s="188">
        <v>37140480</v>
      </c>
      <c r="C5" s="188">
        <v>46425600</v>
      </c>
      <c r="D5" s="188"/>
      <c r="E5" s="188"/>
      <c r="F5" s="188"/>
      <c r="G5" s="188">
        <v>314709525</v>
      </c>
      <c r="H5" s="188"/>
      <c r="I5" s="188"/>
      <c r="J5" s="188">
        <v>201626100</v>
      </c>
      <c r="K5" s="188"/>
      <c r="L5" s="188"/>
      <c r="M5" s="188"/>
      <c r="N5" s="188">
        <v>599901705</v>
      </c>
      <c r="O5"/>
      <c r="P5"/>
      <c r="Q5"/>
      <c r="R5"/>
      <c r="S5"/>
      <c r="T5"/>
      <c r="U5"/>
      <c r="V5"/>
      <c r="W5"/>
      <c r="X5"/>
      <c r="Y5"/>
      <c r="Z5"/>
      <c r="AA5"/>
    </row>
    <row r="6" spans="1:27" x14ac:dyDescent="0.25">
      <c r="A6" s="79">
        <v>2</v>
      </c>
      <c r="B6" s="188">
        <v>46425600.000000007</v>
      </c>
      <c r="C6" s="188"/>
      <c r="D6" s="188">
        <v>27855360.000000007</v>
      </c>
      <c r="E6" s="188">
        <v>62674560.000000015</v>
      </c>
      <c r="F6" s="188"/>
      <c r="G6" s="188"/>
      <c r="H6" s="188"/>
      <c r="I6" s="188"/>
      <c r="J6" s="188">
        <v>168491700</v>
      </c>
      <c r="K6" s="188"/>
      <c r="L6" s="188">
        <v>127003500</v>
      </c>
      <c r="M6" s="188"/>
      <c r="N6" s="188">
        <v>432450720</v>
      </c>
      <c r="O6"/>
      <c r="P6"/>
      <c r="Q6"/>
      <c r="R6"/>
      <c r="S6"/>
      <c r="T6"/>
      <c r="U6"/>
      <c r="V6"/>
      <c r="W6"/>
      <c r="X6"/>
      <c r="Y6"/>
      <c r="Z6"/>
      <c r="AA6"/>
    </row>
    <row r="7" spans="1:27" x14ac:dyDescent="0.25">
      <c r="A7" s="79">
        <v>3</v>
      </c>
      <c r="B7" s="188">
        <v>134380350</v>
      </c>
      <c r="C7" s="188"/>
      <c r="D7" s="188">
        <v>41347800</v>
      </c>
      <c r="E7" s="188">
        <v>41347800</v>
      </c>
      <c r="F7" s="188">
        <v>100386000.00000001</v>
      </c>
      <c r="G7" s="188">
        <v>146893500</v>
      </c>
      <c r="H7" s="188">
        <v>202176000</v>
      </c>
      <c r="I7" s="188"/>
      <c r="J7" s="188">
        <v>118813500</v>
      </c>
      <c r="K7" s="188"/>
      <c r="L7" s="188"/>
      <c r="M7" s="188"/>
      <c r="N7" s="188">
        <v>785344950</v>
      </c>
      <c r="O7"/>
      <c r="P7"/>
      <c r="Q7"/>
      <c r="R7"/>
      <c r="S7"/>
      <c r="T7"/>
      <c r="U7"/>
      <c r="V7"/>
      <c r="W7"/>
      <c r="X7"/>
      <c r="Y7"/>
      <c r="Z7"/>
      <c r="AA7"/>
    </row>
    <row r="8" spans="1:27" x14ac:dyDescent="0.25">
      <c r="A8" s="79">
        <v>4</v>
      </c>
      <c r="B8" s="188">
        <v>169634790</v>
      </c>
      <c r="C8" s="188"/>
      <c r="D8" s="188"/>
      <c r="E8" s="188"/>
      <c r="F8" s="188">
        <v>332601750</v>
      </c>
      <c r="G8" s="188"/>
      <c r="H8" s="188">
        <v>226746000.00000006</v>
      </c>
      <c r="I8" s="188"/>
      <c r="J8" s="188"/>
      <c r="K8" s="188"/>
      <c r="L8" s="188">
        <v>189496125</v>
      </c>
      <c r="M8" s="188"/>
      <c r="N8" s="188">
        <v>918478665</v>
      </c>
      <c r="O8"/>
      <c r="P8"/>
      <c r="Q8"/>
      <c r="R8"/>
      <c r="S8"/>
      <c r="T8"/>
      <c r="U8"/>
      <c r="V8"/>
      <c r="W8"/>
      <c r="X8"/>
      <c r="Y8"/>
      <c r="Z8"/>
      <c r="AA8"/>
    </row>
    <row r="9" spans="1:27" x14ac:dyDescent="0.25">
      <c r="A9" s="79">
        <v>5</v>
      </c>
      <c r="B9" s="188">
        <v>322803000</v>
      </c>
      <c r="C9" s="188">
        <v>90675000</v>
      </c>
      <c r="D9" s="188"/>
      <c r="E9" s="188">
        <v>85234500</v>
      </c>
      <c r="F9" s="188">
        <v>630147375</v>
      </c>
      <c r="G9" s="188"/>
      <c r="H9" s="188">
        <v>132923700</v>
      </c>
      <c r="I9" s="188"/>
      <c r="J9" s="188">
        <v>261769950</v>
      </c>
      <c r="K9" s="188"/>
      <c r="L9" s="188">
        <v>110623500.00000003</v>
      </c>
      <c r="M9" s="188">
        <v>163507500</v>
      </c>
      <c r="N9" s="188">
        <v>1797684525</v>
      </c>
      <c r="O9"/>
      <c r="P9"/>
      <c r="Q9"/>
      <c r="R9"/>
      <c r="S9"/>
      <c r="T9"/>
      <c r="U9"/>
      <c r="V9"/>
      <c r="W9"/>
      <c r="X9"/>
      <c r="Y9"/>
      <c r="Z9"/>
      <c r="AA9"/>
    </row>
    <row r="10" spans="1:27" x14ac:dyDescent="0.25">
      <c r="A10" s="79">
        <v>6</v>
      </c>
      <c r="B10" s="188">
        <v>72540000</v>
      </c>
      <c r="C10" s="188">
        <v>90675000</v>
      </c>
      <c r="D10" s="188"/>
      <c r="E10" s="188"/>
      <c r="F10" s="188">
        <v>202673250</v>
      </c>
      <c r="G10" s="188"/>
      <c r="H10" s="188"/>
      <c r="I10" s="188"/>
      <c r="J10" s="188">
        <v>336632400</v>
      </c>
      <c r="K10" s="188"/>
      <c r="L10" s="188"/>
      <c r="M10" s="188"/>
      <c r="N10" s="188">
        <v>702520650</v>
      </c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x14ac:dyDescent="0.25">
      <c r="A11" s="79">
        <v>7</v>
      </c>
      <c r="B11" s="188">
        <v>311196600</v>
      </c>
      <c r="C11" s="188"/>
      <c r="D11" s="188"/>
      <c r="E11" s="188"/>
      <c r="F11" s="188">
        <v>882414000</v>
      </c>
      <c r="G11" s="188"/>
      <c r="H11" s="188">
        <v>329144400</v>
      </c>
      <c r="I11" s="188"/>
      <c r="J11" s="188"/>
      <c r="K11" s="188"/>
      <c r="L11" s="188"/>
      <c r="M11" s="188"/>
      <c r="N11" s="188">
        <v>1522755000</v>
      </c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x14ac:dyDescent="0.25">
      <c r="A12" s="79">
        <v>8</v>
      </c>
      <c r="B12" s="188">
        <v>200205720</v>
      </c>
      <c r="C12" s="188"/>
      <c r="D12" s="188"/>
      <c r="E12" s="188"/>
      <c r="F12" s="188">
        <v>1078353900</v>
      </c>
      <c r="G12" s="188"/>
      <c r="H12" s="188"/>
      <c r="I12" s="188"/>
      <c r="J12" s="188"/>
      <c r="K12" s="188"/>
      <c r="L12" s="188"/>
      <c r="M12" s="188">
        <v>31010850</v>
      </c>
      <c r="N12" s="188">
        <v>1309570470</v>
      </c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x14ac:dyDescent="0.25">
      <c r="A13" s="79">
        <v>9</v>
      </c>
      <c r="B13" s="188">
        <v>196402050</v>
      </c>
      <c r="C13" s="188"/>
      <c r="D13" s="188"/>
      <c r="E13" s="188"/>
      <c r="F13" s="188">
        <v>372147750</v>
      </c>
      <c r="G13" s="188"/>
      <c r="H13" s="188">
        <v>137241000</v>
      </c>
      <c r="I13" s="188"/>
      <c r="J13" s="188"/>
      <c r="K13" s="188"/>
      <c r="L13" s="188"/>
      <c r="M13" s="188"/>
      <c r="N13" s="188">
        <v>705790800</v>
      </c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x14ac:dyDescent="0.25">
      <c r="A14" s="79">
        <v>10</v>
      </c>
      <c r="B14" s="188">
        <v>62021700</v>
      </c>
      <c r="C14" s="188"/>
      <c r="D14" s="188"/>
      <c r="E14" s="188">
        <v>76167000</v>
      </c>
      <c r="F14" s="188">
        <v>210600000</v>
      </c>
      <c r="G14" s="188"/>
      <c r="H14" s="188"/>
      <c r="I14" s="188"/>
      <c r="J14" s="188">
        <v>208962000</v>
      </c>
      <c r="K14" s="188"/>
      <c r="L14" s="188"/>
      <c r="M14" s="188"/>
      <c r="N14" s="188">
        <v>557750700</v>
      </c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x14ac:dyDescent="0.25">
      <c r="A15" s="79">
        <v>11</v>
      </c>
      <c r="B15" s="188">
        <v>66736800.000000015</v>
      </c>
      <c r="C15" s="188"/>
      <c r="D15" s="188"/>
      <c r="E15" s="188"/>
      <c r="F15" s="188"/>
      <c r="G15" s="188"/>
      <c r="H15" s="188">
        <v>178191000</v>
      </c>
      <c r="I15" s="188"/>
      <c r="J15" s="188"/>
      <c r="K15" s="188"/>
      <c r="L15" s="188"/>
      <c r="M15" s="188"/>
      <c r="N15" s="188">
        <v>244927800</v>
      </c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x14ac:dyDescent="0.25">
      <c r="A16" s="79">
        <v>12</v>
      </c>
      <c r="B16" s="188">
        <v>84871800.000000015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88">
        <v>230947200.00000006</v>
      </c>
      <c r="M16" s="188"/>
      <c r="N16" s="188">
        <v>315819000.00000006</v>
      </c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8" x14ac:dyDescent="0.25">
      <c r="A17" s="79">
        <v>13</v>
      </c>
      <c r="B17" s="188">
        <v>525915000</v>
      </c>
      <c r="C17" s="188">
        <v>21762000</v>
      </c>
      <c r="D17" s="188"/>
      <c r="E17" s="188">
        <v>21762000</v>
      </c>
      <c r="F17" s="188">
        <v>1254357000</v>
      </c>
      <c r="G17" s="188"/>
      <c r="H17" s="188">
        <v>495301950</v>
      </c>
      <c r="I17" s="188">
        <v>290862000</v>
      </c>
      <c r="J17" s="188">
        <v>66374100</v>
      </c>
      <c r="K17" s="188">
        <v>337006800</v>
      </c>
      <c r="L17" s="188">
        <v>162255600</v>
      </c>
      <c r="M17" s="188">
        <v>172662750</v>
      </c>
      <c r="N17" s="188">
        <v>3348259200</v>
      </c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8" x14ac:dyDescent="0.25">
      <c r="A18" s="79">
        <v>14</v>
      </c>
      <c r="B18" s="188">
        <v>84762990</v>
      </c>
      <c r="C18" s="188"/>
      <c r="D18" s="188"/>
      <c r="E18" s="188">
        <v>41347800</v>
      </c>
      <c r="F18" s="188">
        <v>274201200</v>
      </c>
      <c r="G18" s="188"/>
      <c r="H18" s="188"/>
      <c r="I18" s="188"/>
      <c r="J18" s="188">
        <v>118813500</v>
      </c>
      <c r="K18" s="188"/>
      <c r="L18" s="188"/>
      <c r="M18" s="188"/>
      <c r="N18" s="188">
        <v>519125490</v>
      </c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8" x14ac:dyDescent="0.25">
      <c r="A19" s="79">
        <v>15</v>
      </c>
      <c r="B19" s="188">
        <v>69638400.000000015</v>
      </c>
      <c r="C19" s="188"/>
      <c r="D19" s="188"/>
      <c r="E19" s="188"/>
      <c r="F19" s="188">
        <v>214695000</v>
      </c>
      <c r="G19" s="188"/>
      <c r="H19" s="188">
        <v>214461000</v>
      </c>
      <c r="I19" s="188"/>
      <c r="J19" s="188"/>
      <c r="K19" s="188"/>
      <c r="L19" s="188"/>
      <c r="M19" s="188"/>
      <c r="N19" s="188">
        <v>498794400</v>
      </c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8" x14ac:dyDescent="0.25">
      <c r="A20" s="79">
        <v>16</v>
      </c>
      <c r="B20" s="188"/>
      <c r="C20" s="188">
        <v>51684750</v>
      </c>
      <c r="D20" s="188"/>
      <c r="E20" s="188">
        <v>122411250</v>
      </c>
      <c r="F20" s="188"/>
      <c r="G20" s="188"/>
      <c r="H20" s="188"/>
      <c r="I20" s="188"/>
      <c r="J20" s="188">
        <v>153694125</v>
      </c>
      <c r="K20" s="188"/>
      <c r="L20" s="188"/>
      <c r="M20" s="188"/>
      <c r="N20" s="188">
        <v>327790125</v>
      </c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8" x14ac:dyDescent="0.25">
      <c r="A21" s="79" t="s">
        <v>288</v>
      </c>
      <c r="B21" s="188">
        <v>2384675280</v>
      </c>
      <c r="C21" s="188">
        <v>301222350</v>
      </c>
      <c r="D21" s="188">
        <v>69203160</v>
      </c>
      <c r="E21" s="188">
        <v>450944910</v>
      </c>
      <c r="F21" s="188">
        <v>5552577225</v>
      </c>
      <c r="G21" s="188">
        <v>461603025</v>
      </c>
      <c r="H21" s="188">
        <v>1916185050</v>
      </c>
      <c r="I21" s="188">
        <v>290862000</v>
      </c>
      <c r="J21" s="188">
        <v>1635177375</v>
      </c>
      <c r="K21" s="188">
        <v>337006800</v>
      </c>
      <c r="L21" s="188">
        <v>820325925</v>
      </c>
      <c r="M21" s="188">
        <v>367181100</v>
      </c>
      <c r="N21" s="188">
        <v>14586964200</v>
      </c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8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8" s="191" customFormat="1" ht="23.25" customHeight="1" x14ac:dyDescent="0.25">
      <c r="A23" s="233" t="s">
        <v>294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P23" s="233" t="s">
        <v>295</v>
      </c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</row>
    <row r="24" spans="1:28" x14ac:dyDescent="0.25">
      <c r="A24" s="194" t="s">
        <v>292</v>
      </c>
      <c r="B24" s="194" t="s">
        <v>35</v>
      </c>
      <c r="C24" s="194" t="s">
        <v>75</v>
      </c>
      <c r="D24" s="194" t="s">
        <v>45</v>
      </c>
      <c r="E24" s="194" t="s">
        <v>43</v>
      </c>
      <c r="F24" s="194" t="s">
        <v>26</v>
      </c>
      <c r="G24" s="194" t="s">
        <v>39</v>
      </c>
      <c r="H24" s="194" t="s">
        <v>46</v>
      </c>
      <c r="I24" s="194" t="s">
        <v>256</v>
      </c>
      <c r="J24" s="194" t="s">
        <v>40</v>
      </c>
      <c r="K24" s="194" t="s">
        <v>128</v>
      </c>
      <c r="L24" s="194" t="s">
        <v>41</v>
      </c>
      <c r="M24" s="194" t="s">
        <v>293</v>
      </c>
      <c r="P24" s="194" t="s">
        <v>292</v>
      </c>
      <c r="Q24" s="194" t="s">
        <v>35</v>
      </c>
      <c r="R24" s="194" t="s">
        <v>75</v>
      </c>
      <c r="S24" s="194" t="s">
        <v>45</v>
      </c>
      <c r="T24" s="194" t="s">
        <v>43</v>
      </c>
      <c r="U24" s="194" t="s">
        <v>26</v>
      </c>
      <c r="V24" s="194" t="s">
        <v>39</v>
      </c>
      <c r="W24" s="194" t="s">
        <v>46</v>
      </c>
      <c r="X24" s="194" t="s">
        <v>256</v>
      </c>
      <c r="Y24" s="194" t="s">
        <v>40</v>
      </c>
      <c r="Z24" s="194" t="s">
        <v>128</v>
      </c>
      <c r="AA24" s="194" t="s">
        <v>41</v>
      </c>
      <c r="AB24" s="194" t="s">
        <v>293</v>
      </c>
    </row>
    <row r="25" spans="1:28" x14ac:dyDescent="0.25">
      <c r="A25" s="192">
        <v>1</v>
      </c>
      <c r="B25" s="193"/>
      <c r="C25" s="193"/>
      <c r="D25" s="193"/>
      <c r="E25" s="193"/>
      <c r="F25" s="193"/>
      <c r="G25" s="193">
        <v>2</v>
      </c>
      <c r="H25" s="193"/>
      <c r="I25" s="193"/>
      <c r="J25" s="193">
        <v>1</v>
      </c>
      <c r="K25" s="193"/>
      <c r="L25" s="193"/>
      <c r="M25" s="193">
        <f t="shared" ref="M25:M40" ca="1" si="0">SUM(B25:M25)</f>
        <v>3</v>
      </c>
      <c r="P25" s="192">
        <v>1</v>
      </c>
      <c r="Q25" s="193"/>
      <c r="R25" s="193"/>
      <c r="S25" s="193"/>
      <c r="T25" s="193"/>
      <c r="U25" s="193"/>
      <c r="V25" s="193">
        <v>49</v>
      </c>
      <c r="W25" s="193"/>
      <c r="X25" s="193"/>
      <c r="Y25" s="193">
        <v>20</v>
      </c>
      <c r="Z25" s="193"/>
      <c r="AA25" s="193"/>
      <c r="AB25" s="193">
        <f t="shared" ref="AB25:AB40" si="1">SUM(Q25:AA25)</f>
        <v>69</v>
      </c>
    </row>
    <row r="26" spans="1:28" x14ac:dyDescent="0.25">
      <c r="A26" s="192">
        <v>2</v>
      </c>
      <c r="B26" s="193"/>
      <c r="C26" s="193"/>
      <c r="D26" s="193"/>
      <c r="E26" s="193"/>
      <c r="F26" s="193"/>
      <c r="G26" s="193"/>
      <c r="H26" s="193"/>
      <c r="I26" s="193"/>
      <c r="J26" s="193">
        <v>2</v>
      </c>
      <c r="K26" s="193"/>
      <c r="L26" s="193">
        <v>1</v>
      </c>
      <c r="M26" s="193">
        <f t="shared" ca="1" si="0"/>
        <v>3</v>
      </c>
      <c r="P26" s="192">
        <v>2</v>
      </c>
      <c r="Q26" s="193"/>
      <c r="R26" s="193"/>
      <c r="S26" s="193"/>
      <c r="T26" s="193"/>
      <c r="U26" s="193"/>
      <c r="V26" s="193"/>
      <c r="W26" s="193"/>
      <c r="X26" s="193"/>
      <c r="Y26" s="193">
        <v>24</v>
      </c>
      <c r="Z26" s="193"/>
      <c r="AA26" s="193">
        <v>12</v>
      </c>
      <c r="AB26" s="193">
        <f t="shared" si="1"/>
        <v>36</v>
      </c>
    </row>
    <row r="27" spans="1:28" x14ac:dyDescent="0.25">
      <c r="A27" s="192">
        <v>3</v>
      </c>
      <c r="B27" s="193"/>
      <c r="C27" s="193"/>
      <c r="D27" s="193"/>
      <c r="E27" s="193"/>
      <c r="F27" s="193">
        <v>1</v>
      </c>
      <c r="G27" s="193">
        <v>1</v>
      </c>
      <c r="H27" s="193">
        <v>1</v>
      </c>
      <c r="I27" s="193"/>
      <c r="J27" s="193">
        <v>1</v>
      </c>
      <c r="K27" s="193"/>
      <c r="L27" s="193"/>
      <c r="M27" s="193">
        <f t="shared" ca="1" si="0"/>
        <v>4</v>
      </c>
      <c r="P27" s="192">
        <v>3</v>
      </c>
      <c r="Q27" s="193"/>
      <c r="R27" s="193"/>
      <c r="S27" s="193"/>
      <c r="T27" s="193"/>
      <c r="U27" s="193">
        <v>20</v>
      </c>
      <c r="V27" s="193">
        <v>30</v>
      </c>
      <c r="W27" s="193">
        <v>30</v>
      </c>
      <c r="X27" s="193"/>
      <c r="Y27" s="193">
        <v>20</v>
      </c>
      <c r="Z27" s="193"/>
      <c r="AA27" s="193"/>
      <c r="AB27" s="193">
        <f t="shared" si="1"/>
        <v>100</v>
      </c>
    </row>
    <row r="28" spans="1:28" x14ac:dyDescent="0.25">
      <c r="A28" s="192">
        <v>4</v>
      </c>
      <c r="B28" s="193"/>
      <c r="C28" s="193"/>
      <c r="D28" s="193"/>
      <c r="E28" s="193"/>
      <c r="F28" s="193">
        <v>4</v>
      </c>
      <c r="G28" s="193"/>
      <c r="H28" s="193">
        <v>1</v>
      </c>
      <c r="I28" s="193"/>
      <c r="J28" s="193"/>
      <c r="K28" s="193"/>
      <c r="L28" s="193">
        <v>2</v>
      </c>
      <c r="M28" s="193">
        <f t="shared" ca="1" si="0"/>
        <v>7</v>
      </c>
      <c r="P28" s="192">
        <v>4</v>
      </c>
      <c r="Q28" s="193"/>
      <c r="R28" s="193"/>
      <c r="S28" s="193"/>
      <c r="T28" s="193"/>
      <c r="U28" s="193">
        <v>59</v>
      </c>
      <c r="V28" s="193"/>
      <c r="W28" s="193">
        <v>25</v>
      </c>
      <c r="X28" s="193"/>
      <c r="Y28" s="193"/>
      <c r="Z28" s="193"/>
      <c r="AA28" s="193">
        <v>24</v>
      </c>
      <c r="AB28" s="193">
        <f t="shared" si="1"/>
        <v>108</v>
      </c>
    </row>
    <row r="29" spans="1:28" x14ac:dyDescent="0.25">
      <c r="A29" s="192">
        <v>5</v>
      </c>
      <c r="B29" s="193"/>
      <c r="C29" s="193"/>
      <c r="D29" s="193"/>
      <c r="E29" s="193"/>
      <c r="F29" s="193">
        <v>4</v>
      </c>
      <c r="G29" s="193"/>
      <c r="H29" s="193">
        <v>1</v>
      </c>
      <c r="I29" s="193"/>
      <c r="J29" s="193">
        <v>3</v>
      </c>
      <c r="K29" s="193"/>
      <c r="L29" s="193">
        <v>1</v>
      </c>
      <c r="M29" s="193">
        <f t="shared" ca="1" si="0"/>
        <v>9</v>
      </c>
      <c r="P29" s="192">
        <v>5</v>
      </c>
      <c r="Q29" s="193"/>
      <c r="R29" s="193"/>
      <c r="S29" s="193"/>
      <c r="T29" s="193"/>
      <c r="U29" s="193">
        <v>135</v>
      </c>
      <c r="V29" s="193"/>
      <c r="W29" s="193">
        <v>21</v>
      </c>
      <c r="X29" s="193"/>
      <c r="Y29" s="193">
        <v>55</v>
      </c>
      <c r="Z29" s="193"/>
      <c r="AA29" s="193">
        <v>10</v>
      </c>
      <c r="AB29" s="193">
        <f t="shared" si="1"/>
        <v>221</v>
      </c>
    </row>
    <row r="30" spans="1:28" x14ac:dyDescent="0.25">
      <c r="A30" s="192">
        <v>6</v>
      </c>
      <c r="B30" s="193"/>
      <c r="C30" s="193"/>
      <c r="D30" s="193"/>
      <c r="E30" s="193"/>
      <c r="F30" s="193">
        <v>2</v>
      </c>
      <c r="G30" s="193"/>
      <c r="H30" s="193"/>
      <c r="I30" s="193"/>
      <c r="J30" s="193">
        <v>2</v>
      </c>
      <c r="K30" s="193"/>
      <c r="L30" s="193"/>
      <c r="M30" s="193">
        <f t="shared" ca="1" si="0"/>
        <v>4</v>
      </c>
      <c r="P30" s="192">
        <v>6</v>
      </c>
      <c r="Q30" s="193"/>
      <c r="R30" s="193"/>
      <c r="S30" s="193"/>
      <c r="T30" s="193"/>
      <c r="U30" s="193">
        <v>40</v>
      </c>
      <c r="V30" s="193"/>
      <c r="W30" s="193"/>
      <c r="X30" s="193"/>
      <c r="Y30" s="193">
        <v>40</v>
      </c>
      <c r="Z30" s="193"/>
      <c r="AA30" s="193"/>
      <c r="AB30" s="193">
        <f t="shared" si="1"/>
        <v>80</v>
      </c>
    </row>
    <row r="31" spans="1:28" x14ac:dyDescent="0.25">
      <c r="A31" s="192">
        <v>7</v>
      </c>
      <c r="B31" s="193"/>
      <c r="C31" s="193"/>
      <c r="D31" s="193"/>
      <c r="E31" s="193"/>
      <c r="F31" s="193">
        <v>8</v>
      </c>
      <c r="G31" s="193"/>
      <c r="H31" s="193">
        <v>2</v>
      </c>
      <c r="I31" s="193"/>
      <c r="J31" s="193"/>
      <c r="K31" s="193"/>
      <c r="L31" s="193"/>
      <c r="M31" s="193">
        <f t="shared" ca="1" si="0"/>
        <v>10</v>
      </c>
      <c r="P31" s="192">
        <v>7</v>
      </c>
      <c r="Q31" s="193"/>
      <c r="R31" s="193"/>
      <c r="S31" s="193"/>
      <c r="T31" s="193"/>
      <c r="U31" s="193">
        <v>172</v>
      </c>
      <c r="V31" s="193"/>
      <c r="W31" s="193">
        <v>40</v>
      </c>
      <c r="X31" s="193"/>
      <c r="Y31" s="193"/>
      <c r="Z31" s="193"/>
      <c r="AA31" s="193"/>
      <c r="AB31" s="193">
        <f t="shared" si="1"/>
        <v>212</v>
      </c>
    </row>
    <row r="32" spans="1:28" x14ac:dyDescent="0.25">
      <c r="A32" s="192">
        <v>8</v>
      </c>
      <c r="B32" s="193"/>
      <c r="C32" s="193"/>
      <c r="D32" s="193"/>
      <c r="E32" s="193"/>
      <c r="F32" s="193">
        <v>8</v>
      </c>
      <c r="G32" s="193"/>
      <c r="H32" s="193">
        <v>1</v>
      </c>
      <c r="I32" s="193"/>
      <c r="J32" s="193"/>
      <c r="K32" s="193"/>
      <c r="L32" s="193"/>
      <c r="M32" s="193">
        <f t="shared" ca="1" si="0"/>
        <v>9</v>
      </c>
      <c r="P32" s="192">
        <v>8</v>
      </c>
      <c r="Q32" s="193"/>
      <c r="R32" s="193"/>
      <c r="S32" s="193"/>
      <c r="T32" s="193"/>
      <c r="U32" s="193">
        <v>162</v>
      </c>
      <c r="V32" s="193"/>
      <c r="W32" s="193">
        <v>15</v>
      </c>
      <c r="X32" s="193"/>
      <c r="Y32" s="193"/>
      <c r="Z32" s="193"/>
      <c r="AA32" s="193"/>
      <c r="AB32" s="193">
        <f t="shared" si="1"/>
        <v>177</v>
      </c>
    </row>
    <row r="33" spans="1:28" x14ac:dyDescent="0.25">
      <c r="A33" s="192">
        <v>9</v>
      </c>
      <c r="B33" s="193"/>
      <c r="C33" s="193"/>
      <c r="D33" s="193"/>
      <c r="E33" s="193"/>
      <c r="F33" s="193">
        <v>3</v>
      </c>
      <c r="G33" s="193"/>
      <c r="H33" s="193">
        <v>1</v>
      </c>
      <c r="I33" s="193"/>
      <c r="J33" s="193"/>
      <c r="K33" s="193"/>
      <c r="L33" s="193"/>
      <c r="M33" s="193">
        <f t="shared" ca="1" si="0"/>
        <v>4</v>
      </c>
      <c r="P33" s="192">
        <v>9</v>
      </c>
      <c r="Q33" s="193"/>
      <c r="R33" s="193"/>
      <c r="S33" s="193"/>
      <c r="T33" s="193"/>
      <c r="U33" s="193">
        <v>70</v>
      </c>
      <c r="V33" s="193"/>
      <c r="W33" s="193">
        <v>20</v>
      </c>
      <c r="X33" s="193"/>
      <c r="Y33" s="193"/>
      <c r="Z33" s="193"/>
      <c r="AA33" s="193"/>
      <c r="AB33" s="193">
        <f t="shared" si="1"/>
        <v>90</v>
      </c>
    </row>
    <row r="34" spans="1:28" x14ac:dyDescent="0.25">
      <c r="A34" s="192">
        <v>10</v>
      </c>
      <c r="B34" s="193"/>
      <c r="C34" s="193"/>
      <c r="D34" s="193"/>
      <c r="E34" s="193"/>
      <c r="F34" s="193">
        <v>2</v>
      </c>
      <c r="G34" s="193"/>
      <c r="H34" s="193"/>
      <c r="I34" s="193"/>
      <c r="J34" s="193">
        <v>2</v>
      </c>
      <c r="K34" s="193"/>
      <c r="L34" s="193"/>
      <c r="M34" s="193">
        <f t="shared" ca="1" si="0"/>
        <v>4</v>
      </c>
      <c r="P34" s="192">
        <v>10</v>
      </c>
      <c r="Q34" s="193"/>
      <c r="R34" s="193"/>
      <c r="S34" s="193"/>
      <c r="T34" s="193"/>
      <c r="U34" s="193">
        <v>30</v>
      </c>
      <c r="V34" s="193"/>
      <c r="W34" s="193"/>
      <c r="X34" s="193"/>
      <c r="Y34" s="193">
        <v>30</v>
      </c>
      <c r="Z34" s="193"/>
      <c r="AA34" s="193"/>
      <c r="AB34" s="193">
        <f t="shared" si="1"/>
        <v>60</v>
      </c>
    </row>
    <row r="35" spans="1:28" x14ac:dyDescent="0.25">
      <c r="A35" s="192">
        <v>11</v>
      </c>
      <c r="B35" s="193"/>
      <c r="C35" s="193"/>
      <c r="D35" s="193"/>
      <c r="E35" s="193"/>
      <c r="F35" s="193"/>
      <c r="G35" s="193"/>
      <c r="H35" s="193">
        <v>1</v>
      </c>
      <c r="I35" s="193"/>
      <c r="J35" s="193"/>
      <c r="K35" s="193"/>
      <c r="L35" s="193"/>
      <c r="M35" s="193">
        <f t="shared" ca="1" si="0"/>
        <v>1</v>
      </c>
      <c r="P35" s="192">
        <v>11</v>
      </c>
      <c r="Q35" s="193"/>
      <c r="R35" s="193"/>
      <c r="S35" s="193"/>
      <c r="T35" s="193"/>
      <c r="U35" s="193"/>
      <c r="V35" s="193"/>
      <c r="W35" s="193">
        <v>20</v>
      </c>
      <c r="X35" s="193"/>
      <c r="Y35" s="193"/>
      <c r="Z35" s="193"/>
      <c r="AA35" s="193"/>
      <c r="AB35" s="193">
        <f t="shared" si="1"/>
        <v>20</v>
      </c>
    </row>
    <row r="36" spans="1:28" x14ac:dyDescent="0.25">
      <c r="A36" s="192">
        <v>12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>
        <v>1</v>
      </c>
      <c r="M36" s="193">
        <f t="shared" ca="1" si="0"/>
        <v>1</v>
      </c>
      <c r="P36" s="192">
        <v>12</v>
      </c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>
        <v>20</v>
      </c>
      <c r="AB36" s="193">
        <f t="shared" si="1"/>
        <v>20</v>
      </c>
    </row>
    <row r="37" spans="1:28" x14ac:dyDescent="0.25">
      <c r="A37" s="192">
        <v>13</v>
      </c>
      <c r="B37" s="193"/>
      <c r="C37" s="193"/>
      <c r="D37" s="193"/>
      <c r="E37" s="193"/>
      <c r="F37" s="193">
        <v>10</v>
      </c>
      <c r="G37" s="193"/>
      <c r="H37" s="193">
        <v>3</v>
      </c>
      <c r="I37" s="193">
        <v>2</v>
      </c>
      <c r="J37" s="193">
        <v>1</v>
      </c>
      <c r="K37" s="193">
        <v>2</v>
      </c>
      <c r="L37" s="193">
        <v>2</v>
      </c>
      <c r="M37" s="193">
        <f t="shared" ca="1" si="0"/>
        <v>20</v>
      </c>
      <c r="P37" s="192">
        <v>13</v>
      </c>
      <c r="Q37" s="193"/>
      <c r="R37" s="193"/>
      <c r="S37" s="193"/>
      <c r="T37" s="193"/>
      <c r="U37" s="193">
        <v>300</v>
      </c>
      <c r="V37" s="193"/>
      <c r="W37" s="193">
        <v>61</v>
      </c>
      <c r="X37" s="193">
        <v>40</v>
      </c>
      <c r="Y37" s="193">
        <v>12</v>
      </c>
      <c r="Z37" s="193">
        <v>56</v>
      </c>
      <c r="AA37" s="193">
        <v>22</v>
      </c>
      <c r="AB37" s="193">
        <f t="shared" si="1"/>
        <v>491</v>
      </c>
    </row>
    <row r="38" spans="1:28" x14ac:dyDescent="0.25">
      <c r="A38" s="192">
        <v>14</v>
      </c>
      <c r="B38" s="193"/>
      <c r="C38" s="193"/>
      <c r="D38" s="193"/>
      <c r="E38" s="193"/>
      <c r="F38" s="193">
        <v>2</v>
      </c>
      <c r="G38" s="193"/>
      <c r="H38" s="193">
        <v>1</v>
      </c>
      <c r="I38" s="193"/>
      <c r="J38" s="193">
        <v>1</v>
      </c>
      <c r="K38" s="193"/>
      <c r="L38" s="193"/>
      <c r="M38" s="193">
        <f t="shared" ca="1" si="0"/>
        <v>4</v>
      </c>
      <c r="P38" s="192">
        <v>14</v>
      </c>
      <c r="Q38" s="193"/>
      <c r="R38" s="193"/>
      <c r="S38" s="193"/>
      <c r="T38" s="193"/>
      <c r="U38" s="193">
        <v>40</v>
      </c>
      <c r="V38" s="193"/>
      <c r="W38" s="193">
        <v>20</v>
      </c>
      <c r="X38" s="193"/>
      <c r="Y38" s="193">
        <v>20</v>
      </c>
      <c r="Z38" s="193"/>
      <c r="AA38" s="193"/>
      <c r="AB38" s="193">
        <f t="shared" si="1"/>
        <v>80</v>
      </c>
    </row>
    <row r="39" spans="1:28" x14ac:dyDescent="0.25">
      <c r="A39" s="192">
        <v>15</v>
      </c>
      <c r="B39" s="193"/>
      <c r="C39" s="193"/>
      <c r="D39" s="193"/>
      <c r="E39" s="193"/>
      <c r="F39" s="193">
        <v>1</v>
      </c>
      <c r="G39" s="193"/>
      <c r="H39" s="193">
        <v>1</v>
      </c>
      <c r="I39" s="193"/>
      <c r="J39" s="193"/>
      <c r="K39" s="193"/>
      <c r="L39" s="193"/>
      <c r="M39" s="193">
        <f t="shared" ca="1" si="0"/>
        <v>2</v>
      </c>
      <c r="P39" s="192">
        <v>15</v>
      </c>
      <c r="Q39" s="193"/>
      <c r="R39" s="193"/>
      <c r="S39" s="193"/>
      <c r="T39" s="193"/>
      <c r="U39" s="193">
        <v>20</v>
      </c>
      <c r="V39" s="193"/>
      <c r="W39" s="193">
        <v>30</v>
      </c>
      <c r="X39" s="193"/>
      <c r="Y39" s="193"/>
      <c r="Z39" s="193"/>
      <c r="AA39" s="193"/>
      <c r="AB39" s="193">
        <f t="shared" si="1"/>
        <v>50</v>
      </c>
    </row>
    <row r="40" spans="1:28" x14ac:dyDescent="0.25">
      <c r="A40" s="192">
        <v>16</v>
      </c>
      <c r="B40" s="193"/>
      <c r="C40" s="193"/>
      <c r="D40" s="193"/>
      <c r="E40" s="193"/>
      <c r="F40" s="193"/>
      <c r="G40" s="193"/>
      <c r="H40" s="193"/>
      <c r="I40" s="193"/>
      <c r="J40" s="193">
        <v>1</v>
      </c>
      <c r="K40" s="193"/>
      <c r="L40" s="193"/>
      <c r="M40" s="193">
        <f t="shared" ca="1" si="0"/>
        <v>1</v>
      </c>
      <c r="P40" s="192">
        <v>16</v>
      </c>
      <c r="Q40" s="193"/>
      <c r="R40" s="193"/>
      <c r="S40" s="193"/>
      <c r="T40" s="193"/>
      <c r="U40" s="193"/>
      <c r="V40" s="193"/>
      <c r="W40" s="193"/>
      <c r="X40" s="193"/>
      <c r="Y40" s="193">
        <v>20</v>
      </c>
      <c r="Z40" s="193"/>
      <c r="AA40" s="193"/>
      <c r="AB40" s="193">
        <f t="shared" si="1"/>
        <v>20</v>
      </c>
    </row>
    <row r="41" spans="1:28" x14ac:dyDescent="0.25">
      <c r="A41" s="194" t="s">
        <v>293</v>
      </c>
      <c r="B41" s="195"/>
      <c r="C41" s="195"/>
      <c r="D41" s="195"/>
      <c r="E41" s="195"/>
      <c r="F41" s="195">
        <f>SUM(F25:F40)</f>
        <v>45</v>
      </c>
      <c r="G41" s="195">
        <f t="shared" ref="G41:L41" si="2">SUM(G25:G40)</f>
        <v>3</v>
      </c>
      <c r="H41" s="195">
        <f t="shared" si="2"/>
        <v>13</v>
      </c>
      <c r="I41" s="195">
        <f t="shared" si="2"/>
        <v>2</v>
      </c>
      <c r="J41" s="195">
        <f t="shared" si="2"/>
        <v>14</v>
      </c>
      <c r="K41" s="195">
        <f t="shared" si="2"/>
        <v>2</v>
      </c>
      <c r="L41" s="195">
        <f t="shared" si="2"/>
        <v>7</v>
      </c>
      <c r="M41" s="195">
        <f ca="1">SUM(M25:M40)</f>
        <v>86</v>
      </c>
      <c r="P41" s="194" t="s">
        <v>293</v>
      </c>
      <c r="Q41" s="195"/>
      <c r="R41" s="195"/>
      <c r="S41" s="195"/>
      <c r="T41" s="195"/>
      <c r="U41" s="195">
        <v>1048</v>
      </c>
      <c r="V41" s="195">
        <v>79</v>
      </c>
      <c r="W41" s="195">
        <v>282</v>
      </c>
      <c r="X41" s="195">
        <v>40</v>
      </c>
      <c r="Y41" s="195">
        <v>241</v>
      </c>
      <c r="Z41" s="195">
        <v>56</v>
      </c>
      <c r="AA41" s="195">
        <v>88</v>
      </c>
      <c r="AB41" s="195">
        <f>SUM(AB25:AB40)</f>
        <v>1834</v>
      </c>
    </row>
    <row r="42" spans="1:28" x14ac:dyDescent="0.25">
      <c r="A42"/>
    </row>
    <row r="43" spans="1:28" x14ac:dyDescent="0.25">
      <c r="A43"/>
    </row>
    <row r="44" spans="1:28" x14ac:dyDescent="0.25">
      <c r="A44"/>
      <c r="B44" s="189" t="s">
        <v>35</v>
      </c>
      <c r="C44" s="189" t="s">
        <v>75</v>
      </c>
      <c r="D44" s="189" t="s">
        <v>45</v>
      </c>
      <c r="E44" s="189" t="s">
        <v>43</v>
      </c>
      <c r="F44" s="189" t="s">
        <v>26</v>
      </c>
      <c r="G44" s="189" t="s">
        <v>39</v>
      </c>
      <c r="H44" s="189" t="s">
        <v>46</v>
      </c>
      <c r="I44" s="189" t="s">
        <v>256</v>
      </c>
      <c r="J44" s="189" t="s">
        <v>40</v>
      </c>
      <c r="K44" s="189" t="s">
        <v>128</v>
      </c>
      <c r="L44" s="189" t="s">
        <v>41</v>
      </c>
      <c r="M44" s="189" t="s">
        <v>290</v>
      </c>
      <c r="N44" s="189" t="s">
        <v>288</v>
      </c>
    </row>
    <row r="45" spans="1:28" x14ac:dyDescent="0.25">
      <c r="A45"/>
      <c r="B45" s="188">
        <v>37140480</v>
      </c>
      <c r="C45" s="188">
        <v>46425600</v>
      </c>
      <c r="D45" s="188"/>
      <c r="E45" s="188"/>
      <c r="F45" s="188"/>
      <c r="G45" s="188">
        <v>314709525</v>
      </c>
      <c r="H45" s="188"/>
      <c r="I45" s="188"/>
      <c r="J45" s="188">
        <v>201626100</v>
      </c>
      <c r="K45" s="188"/>
      <c r="L45" s="188"/>
      <c r="M45" s="188"/>
      <c r="N45" s="188">
        <v>599901705</v>
      </c>
    </row>
    <row r="46" spans="1:28" x14ac:dyDescent="0.25">
      <c r="A46"/>
      <c r="B46" s="188">
        <v>46425600.000000007</v>
      </c>
      <c r="C46" s="188"/>
      <c r="D46" s="188">
        <v>27855360.000000007</v>
      </c>
      <c r="E46" s="188">
        <v>62674560.000000015</v>
      </c>
      <c r="F46" s="188"/>
      <c r="G46" s="188"/>
      <c r="H46" s="188"/>
      <c r="I46" s="188"/>
      <c r="J46" s="188">
        <v>168491700</v>
      </c>
      <c r="K46" s="188"/>
      <c r="L46" s="188">
        <v>127003500</v>
      </c>
      <c r="M46" s="188"/>
      <c r="N46" s="188">
        <v>432450720</v>
      </c>
    </row>
    <row r="47" spans="1:28" x14ac:dyDescent="0.25">
      <c r="A47"/>
      <c r="B47" s="188">
        <v>134380350</v>
      </c>
      <c r="C47" s="188"/>
      <c r="D47" s="188">
        <v>41347800</v>
      </c>
      <c r="E47" s="188">
        <v>41347800</v>
      </c>
      <c r="F47" s="188">
        <v>100386000.00000001</v>
      </c>
      <c r="G47" s="188">
        <v>146893500</v>
      </c>
      <c r="H47" s="188">
        <v>202176000</v>
      </c>
      <c r="I47" s="188"/>
      <c r="J47" s="188">
        <v>118813500</v>
      </c>
      <c r="K47" s="188"/>
      <c r="L47" s="188"/>
      <c r="M47" s="188"/>
      <c r="N47" s="188">
        <v>785344950</v>
      </c>
    </row>
    <row r="48" spans="1:28" x14ac:dyDescent="0.25">
      <c r="A48"/>
      <c r="B48" s="188">
        <v>169634790</v>
      </c>
      <c r="C48" s="188"/>
      <c r="D48" s="188"/>
      <c r="E48" s="188"/>
      <c r="F48" s="188">
        <v>332601750</v>
      </c>
      <c r="G48" s="188"/>
      <c r="H48" s="188">
        <v>226746000.00000006</v>
      </c>
      <c r="I48" s="188"/>
      <c r="J48" s="188"/>
      <c r="K48" s="188"/>
      <c r="L48" s="188">
        <v>189496125</v>
      </c>
      <c r="M48" s="188"/>
      <c r="N48" s="188">
        <v>918478665</v>
      </c>
    </row>
    <row r="49" spans="1:14" x14ac:dyDescent="0.25">
      <c r="A49"/>
      <c r="B49" s="188">
        <v>322803000</v>
      </c>
      <c r="C49" s="188">
        <v>90675000</v>
      </c>
      <c r="D49" s="188"/>
      <c r="E49" s="188">
        <v>85234500</v>
      </c>
      <c r="F49" s="188">
        <v>630147375</v>
      </c>
      <c r="G49" s="188"/>
      <c r="H49" s="188">
        <v>132923700</v>
      </c>
      <c r="I49" s="188"/>
      <c r="J49" s="188">
        <v>261769950</v>
      </c>
      <c r="K49" s="188"/>
      <c r="L49" s="188">
        <v>110623500.00000003</v>
      </c>
      <c r="M49" s="188">
        <v>163507500</v>
      </c>
      <c r="N49" s="188">
        <v>1797684525</v>
      </c>
    </row>
    <row r="50" spans="1:14" x14ac:dyDescent="0.25">
      <c r="A50"/>
      <c r="B50" s="188">
        <v>72540000</v>
      </c>
      <c r="C50" s="188">
        <v>90675000</v>
      </c>
      <c r="D50" s="188"/>
      <c r="E50" s="188"/>
      <c r="F50" s="188">
        <v>202673250</v>
      </c>
      <c r="G50" s="188"/>
      <c r="H50" s="188"/>
      <c r="I50" s="188"/>
      <c r="J50" s="188">
        <v>336632400</v>
      </c>
      <c r="K50" s="188"/>
      <c r="L50" s="188"/>
      <c r="M50" s="188"/>
      <c r="N50" s="188">
        <v>702520650</v>
      </c>
    </row>
    <row r="51" spans="1:14" x14ac:dyDescent="0.25">
      <c r="A51"/>
      <c r="B51" s="188">
        <v>311196600</v>
      </c>
      <c r="C51" s="188"/>
      <c r="D51" s="188"/>
      <c r="E51" s="188"/>
      <c r="F51" s="188">
        <v>882414000</v>
      </c>
      <c r="G51" s="188"/>
      <c r="H51" s="188">
        <v>329144400</v>
      </c>
      <c r="I51" s="188"/>
      <c r="J51" s="188"/>
      <c r="K51" s="188"/>
      <c r="L51" s="188"/>
      <c r="M51" s="188"/>
      <c r="N51" s="188">
        <v>1522755000</v>
      </c>
    </row>
    <row r="52" spans="1:14" x14ac:dyDescent="0.25">
      <c r="A52"/>
      <c r="B52" s="188">
        <v>200205720</v>
      </c>
      <c r="C52" s="188"/>
      <c r="D52" s="188"/>
      <c r="E52" s="188"/>
      <c r="F52" s="188">
        <v>1078353900</v>
      </c>
      <c r="G52" s="188"/>
      <c r="H52" s="188"/>
      <c r="I52" s="188"/>
      <c r="J52" s="188"/>
      <c r="K52" s="188"/>
      <c r="L52" s="188"/>
      <c r="M52" s="188">
        <v>31010850</v>
      </c>
      <c r="N52" s="188">
        <v>1309570470</v>
      </c>
    </row>
    <row r="53" spans="1:14" x14ac:dyDescent="0.25">
      <c r="A53"/>
      <c r="B53" s="188">
        <v>196402050</v>
      </c>
      <c r="C53" s="188"/>
      <c r="D53" s="188"/>
      <c r="E53" s="188"/>
      <c r="F53" s="188">
        <v>372147750</v>
      </c>
      <c r="G53" s="188"/>
      <c r="H53" s="188">
        <v>137241000</v>
      </c>
      <c r="I53" s="188"/>
      <c r="J53" s="188"/>
      <c r="K53" s="188"/>
      <c r="L53" s="188"/>
      <c r="M53" s="188"/>
      <c r="N53" s="188">
        <v>705790800</v>
      </c>
    </row>
    <row r="54" spans="1:14" x14ac:dyDescent="0.25">
      <c r="A54"/>
      <c r="B54" s="188">
        <v>62021700</v>
      </c>
      <c r="C54" s="188"/>
      <c r="D54" s="188"/>
      <c r="E54" s="188">
        <v>76167000</v>
      </c>
      <c r="F54" s="188">
        <v>210600000</v>
      </c>
      <c r="G54" s="188"/>
      <c r="H54" s="188"/>
      <c r="I54" s="188"/>
      <c r="J54" s="188">
        <v>208962000</v>
      </c>
      <c r="K54" s="188"/>
      <c r="L54" s="188"/>
      <c r="M54" s="188"/>
      <c r="N54" s="188">
        <v>557750700</v>
      </c>
    </row>
    <row r="55" spans="1:14" x14ac:dyDescent="0.25">
      <c r="A55"/>
      <c r="B55" s="188">
        <v>66736800.000000015</v>
      </c>
      <c r="C55" s="188"/>
      <c r="D55" s="188"/>
      <c r="E55" s="188"/>
      <c r="F55" s="188"/>
      <c r="G55" s="188"/>
      <c r="H55" s="188">
        <v>178191000</v>
      </c>
      <c r="I55" s="188"/>
      <c r="J55" s="188"/>
      <c r="K55" s="188"/>
      <c r="L55" s="188"/>
      <c r="M55" s="188"/>
      <c r="N55" s="188">
        <v>244927800</v>
      </c>
    </row>
    <row r="56" spans="1:14" x14ac:dyDescent="0.25">
      <c r="A56"/>
      <c r="B56" s="188">
        <v>84871800.000000015</v>
      </c>
      <c r="C56" s="188"/>
      <c r="D56" s="188"/>
      <c r="E56" s="188"/>
      <c r="F56" s="188"/>
      <c r="G56" s="188"/>
      <c r="H56" s="188"/>
      <c r="I56" s="188"/>
      <c r="J56" s="188"/>
      <c r="K56" s="188"/>
      <c r="L56" s="188">
        <v>230947200.00000006</v>
      </c>
      <c r="M56" s="188"/>
      <c r="N56" s="188">
        <v>315819000.00000006</v>
      </c>
    </row>
    <row r="57" spans="1:14" x14ac:dyDescent="0.25">
      <c r="A57"/>
      <c r="B57" s="188">
        <v>525915000</v>
      </c>
      <c r="C57" s="188">
        <v>21762000</v>
      </c>
      <c r="D57" s="188"/>
      <c r="E57" s="188">
        <v>21762000</v>
      </c>
      <c r="F57" s="188">
        <v>1254357000</v>
      </c>
      <c r="G57" s="188"/>
      <c r="H57" s="188">
        <v>495301950</v>
      </c>
      <c r="I57" s="188">
        <v>290862000</v>
      </c>
      <c r="J57" s="188">
        <v>66374100</v>
      </c>
      <c r="K57" s="188">
        <v>337006800</v>
      </c>
      <c r="L57" s="188">
        <v>162255600</v>
      </c>
      <c r="M57" s="188">
        <v>172662750</v>
      </c>
      <c r="N57" s="188">
        <v>3348259200</v>
      </c>
    </row>
    <row r="58" spans="1:14" x14ac:dyDescent="0.25">
      <c r="A58"/>
      <c r="B58" s="188">
        <v>84762990</v>
      </c>
      <c r="C58" s="188"/>
      <c r="D58" s="188"/>
      <c r="E58" s="188">
        <v>41347800</v>
      </c>
      <c r="F58" s="188">
        <v>274201200</v>
      </c>
      <c r="G58" s="188"/>
      <c r="H58" s="188"/>
      <c r="I58" s="188"/>
      <c r="J58" s="188">
        <v>118813500</v>
      </c>
      <c r="K58" s="188"/>
      <c r="L58" s="188"/>
      <c r="M58" s="188"/>
      <c r="N58" s="188">
        <v>519125490</v>
      </c>
    </row>
    <row r="59" spans="1:14" x14ac:dyDescent="0.25">
      <c r="A59"/>
      <c r="B59" s="188">
        <v>69638400.000000015</v>
      </c>
      <c r="C59" s="188"/>
      <c r="D59" s="188"/>
      <c r="E59" s="188"/>
      <c r="F59" s="188">
        <v>214695000</v>
      </c>
      <c r="G59" s="188"/>
      <c r="H59" s="188">
        <v>214461000</v>
      </c>
      <c r="I59" s="188"/>
      <c r="J59" s="188"/>
      <c r="K59" s="188"/>
      <c r="L59" s="188"/>
      <c r="M59" s="188"/>
      <c r="N59" s="188">
        <v>498794400</v>
      </c>
    </row>
    <row r="60" spans="1:14" x14ac:dyDescent="0.25">
      <c r="A60"/>
      <c r="B60" s="188"/>
      <c r="C60" s="188">
        <v>51684750</v>
      </c>
      <c r="D60" s="188"/>
      <c r="E60" s="188">
        <v>122411250</v>
      </c>
      <c r="F60" s="188"/>
      <c r="G60" s="188"/>
      <c r="H60" s="188"/>
      <c r="I60" s="188"/>
      <c r="J60" s="188">
        <v>153694125</v>
      </c>
      <c r="K60" s="188"/>
      <c r="L60" s="188"/>
      <c r="M60" s="188"/>
      <c r="N60" s="188">
        <v>327790125</v>
      </c>
    </row>
    <row r="61" spans="1:14" x14ac:dyDescent="0.25">
      <c r="A61"/>
      <c r="B61" s="190">
        <v>2384675280</v>
      </c>
      <c r="C61" s="190">
        <v>301222350</v>
      </c>
      <c r="D61" s="190">
        <v>69203160</v>
      </c>
      <c r="E61" s="190">
        <v>450944910</v>
      </c>
      <c r="F61" s="190">
        <v>5552577225</v>
      </c>
      <c r="G61" s="190">
        <v>461603025</v>
      </c>
      <c r="H61" s="190">
        <v>1916185050</v>
      </c>
      <c r="I61" s="190">
        <v>290862000</v>
      </c>
      <c r="J61" s="190">
        <v>1635177375</v>
      </c>
      <c r="K61" s="190">
        <v>337006800</v>
      </c>
      <c r="L61" s="190">
        <v>820325925</v>
      </c>
      <c r="M61" s="190">
        <v>367181100</v>
      </c>
      <c r="N61" s="190">
        <v>14586964200</v>
      </c>
    </row>
    <row r="62" spans="1:14" x14ac:dyDescent="0.25">
      <c r="A62"/>
    </row>
    <row r="63" spans="1:14" x14ac:dyDescent="0.25">
      <c r="A63"/>
    </row>
    <row r="64" spans="1:14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</sheetData>
  <mergeCells count="3">
    <mergeCell ref="B2:N2"/>
    <mergeCell ref="A23:M23"/>
    <mergeCell ref="P23:AB23"/>
  </mergeCells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22"/>
  <sheetViews>
    <sheetView workbookViewId="0"/>
  </sheetViews>
  <sheetFormatPr baseColWidth="10" defaultRowHeight="15" x14ac:dyDescent="0.25"/>
  <cols>
    <col min="1" max="1" width="38.85546875" customWidth="1"/>
    <col min="2" max="2" width="24.7109375" customWidth="1"/>
    <col min="3" max="3" width="10" customWidth="1"/>
    <col min="4" max="4" width="9" customWidth="1"/>
    <col min="5" max="5" width="10" customWidth="1"/>
    <col min="6" max="6" width="11" customWidth="1"/>
    <col min="7" max="7" width="10" customWidth="1"/>
    <col min="8" max="8" width="11" customWidth="1"/>
    <col min="9" max="9" width="10" customWidth="1"/>
    <col min="10" max="10" width="11" customWidth="1"/>
    <col min="11" max="12" width="10" customWidth="1"/>
    <col min="13" max="13" width="11" customWidth="1"/>
    <col min="14" max="14" width="12.5703125" customWidth="1"/>
    <col min="15" max="15" width="38.85546875" customWidth="1"/>
    <col min="16" max="16" width="24.140625" bestFit="1" customWidth="1"/>
    <col min="17" max="17" width="38.85546875" customWidth="1"/>
    <col min="18" max="18" width="24.140625" bestFit="1" customWidth="1"/>
    <col min="19" max="19" width="38.85546875" customWidth="1"/>
    <col min="20" max="20" width="24.140625" bestFit="1" customWidth="1"/>
    <col min="21" max="21" width="38.85546875" customWidth="1"/>
    <col min="22" max="22" width="24.140625" bestFit="1" customWidth="1"/>
    <col min="23" max="23" width="38.85546875" customWidth="1"/>
    <col min="24" max="24" width="24.140625" bestFit="1" customWidth="1"/>
    <col min="25" max="25" width="38.85546875" customWidth="1"/>
    <col min="26" max="26" width="29.140625" bestFit="1" customWidth="1"/>
    <col min="27" max="27" width="43.85546875" customWidth="1"/>
    <col min="29" max="29" width="9" style="196" customWidth="1"/>
    <col min="30" max="30" width="11.42578125" style="196"/>
    <col min="31" max="31" width="6.5703125" style="196" customWidth="1"/>
    <col min="32" max="32" width="11.42578125" style="196"/>
    <col min="33" max="33" width="6.85546875" style="196" customWidth="1"/>
    <col min="34" max="34" width="11.42578125" style="196"/>
    <col min="35" max="35" width="7.85546875" style="196" customWidth="1"/>
    <col min="36" max="36" width="11.42578125" style="196"/>
    <col min="37" max="37" width="6.42578125" style="196" customWidth="1"/>
    <col min="38" max="38" width="11.42578125" style="196"/>
    <col min="39" max="39" width="6.7109375" style="196" customWidth="1"/>
    <col min="40" max="40" width="11.42578125" style="196"/>
    <col min="41" max="41" width="6.7109375" style="196" customWidth="1"/>
    <col min="42" max="42" width="19.140625" customWidth="1"/>
    <col min="43" max="43" width="9.85546875" style="204" customWidth="1"/>
    <col min="44" max="44" width="10" customWidth="1"/>
    <col min="45" max="45" width="11.42578125" style="201"/>
    <col min="46" max="46" width="6.140625" style="201" customWidth="1"/>
    <col min="47" max="47" width="11.42578125" style="201"/>
    <col min="48" max="48" width="7" style="201" customWidth="1"/>
    <col min="49" max="49" width="11.42578125" style="201"/>
    <col min="50" max="50" width="6.5703125" style="201" customWidth="1"/>
    <col min="51" max="51" width="11.42578125" style="201"/>
    <col min="52" max="52" width="6.42578125" style="201" customWidth="1"/>
    <col min="53" max="53" width="11.42578125" style="201"/>
    <col min="54" max="54" width="6.140625" style="201" customWidth="1"/>
    <col min="55" max="55" width="11.42578125" style="201"/>
    <col min="56" max="56" width="6.140625" style="201" customWidth="1"/>
    <col min="57" max="57" width="11.42578125" style="201"/>
    <col min="58" max="58" width="6.85546875" style="201" customWidth="1"/>
    <col min="59" max="59" width="17.7109375" customWidth="1"/>
  </cols>
  <sheetData>
    <row r="2" spans="1:59" x14ac:dyDescent="0.25">
      <c r="A2" s="79"/>
      <c r="B2" s="232" t="s">
        <v>291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1:59" ht="19.5" customHeight="1" x14ac:dyDescent="0.25">
      <c r="A3" s="187" t="s">
        <v>296</v>
      </c>
      <c r="B3" s="187" t="s">
        <v>289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AC3" s="238" t="s">
        <v>298</v>
      </c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R3" s="235" t="s">
        <v>299</v>
      </c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</row>
    <row r="4" spans="1:59" ht="18.75" customHeight="1" x14ac:dyDescent="0.25">
      <c r="A4" s="187" t="s">
        <v>287</v>
      </c>
      <c r="B4" s="79" t="s">
        <v>35</v>
      </c>
      <c r="C4" s="79" t="s">
        <v>75</v>
      </c>
      <c r="D4" s="79" t="s">
        <v>45</v>
      </c>
      <c r="E4" s="79" t="s">
        <v>43</v>
      </c>
      <c r="F4" s="79" t="s">
        <v>26</v>
      </c>
      <c r="G4" s="79" t="s">
        <v>39</v>
      </c>
      <c r="H4" s="79" t="s">
        <v>46</v>
      </c>
      <c r="I4" s="79" t="s">
        <v>256</v>
      </c>
      <c r="J4" s="79" t="s">
        <v>40</v>
      </c>
      <c r="K4" s="79" t="s">
        <v>128</v>
      </c>
      <c r="L4" s="79" t="s">
        <v>41</v>
      </c>
      <c r="M4" s="79" t="s">
        <v>290</v>
      </c>
      <c r="N4" s="79" t="s">
        <v>288</v>
      </c>
      <c r="AC4" s="234" t="s">
        <v>292</v>
      </c>
      <c r="AD4" s="236" t="s">
        <v>26</v>
      </c>
      <c r="AE4" s="237"/>
      <c r="AF4" s="236" t="s">
        <v>46</v>
      </c>
      <c r="AG4" s="237"/>
      <c r="AH4" s="236" t="s">
        <v>40</v>
      </c>
      <c r="AI4" s="237"/>
      <c r="AJ4" s="236" t="s">
        <v>128</v>
      </c>
      <c r="AK4" s="237"/>
      <c r="AL4" s="236" t="s">
        <v>41</v>
      </c>
      <c r="AM4" s="237"/>
      <c r="AN4" s="234" t="s">
        <v>297</v>
      </c>
      <c r="AO4" s="234"/>
      <c r="AP4" s="234"/>
      <c r="AR4" s="234" t="s">
        <v>292</v>
      </c>
      <c r="AS4" s="236" t="s">
        <v>181</v>
      </c>
      <c r="AT4" s="237"/>
      <c r="AU4" s="236" t="s">
        <v>26</v>
      </c>
      <c r="AV4" s="237"/>
      <c r="AW4" s="236" t="s">
        <v>46</v>
      </c>
      <c r="AX4" s="237"/>
      <c r="AY4" s="236" t="s">
        <v>128</v>
      </c>
      <c r="AZ4" s="237"/>
      <c r="BA4" s="236" t="s">
        <v>134</v>
      </c>
      <c r="BB4" s="237"/>
      <c r="BC4" s="236" t="s">
        <v>41</v>
      </c>
      <c r="BD4" s="237"/>
      <c r="BE4" s="234" t="s">
        <v>297</v>
      </c>
      <c r="BF4" s="234"/>
      <c r="BG4" s="234"/>
    </row>
    <row r="5" spans="1:59" ht="72" x14ac:dyDescent="0.25">
      <c r="A5" s="79">
        <v>1</v>
      </c>
      <c r="B5" s="193">
        <v>37140480</v>
      </c>
      <c r="C5" s="193">
        <v>46425600</v>
      </c>
      <c r="D5" s="193"/>
      <c r="E5" s="193"/>
      <c r="F5" s="193"/>
      <c r="G5" s="193">
        <v>314709525</v>
      </c>
      <c r="H5" s="193"/>
      <c r="I5" s="193"/>
      <c r="J5" s="193">
        <v>201626100</v>
      </c>
      <c r="K5" s="193"/>
      <c r="L5" s="193"/>
      <c r="M5" s="193"/>
      <c r="N5" s="193">
        <v>599901705</v>
      </c>
      <c r="AC5" s="234"/>
      <c r="AD5" s="197" t="s">
        <v>294</v>
      </c>
      <c r="AE5" s="197" t="s">
        <v>295</v>
      </c>
      <c r="AF5" s="197" t="s">
        <v>294</v>
      </c>
      <c r="AG5" s="197" t="s">
        <v>295</v>
      </c>
      <c r="AH5" s="197" t="s">
        <v>294</v>
      </c>
      <c r="AI5" s="197" t="s">
        <v>295</v>
      </c>
      <c r="AJ5" s="197" t="s">
        <v>294</v>
      </c>
      <c r="AK5" s="197" t="s">
        <v>295</v>
      </c>
      <c r="AL5" s="197" t="s">
        <v>294</v>
      </c>
      <c r="AM5" s="197" t="s">
        <v>295</v>
      </c>
      <c r="AN5" s="197" t="s">
        <v>294</v>
      </c>
      <c r="AO5" s="197" t="s">
        <v>295</v>
      </c>
      <c r="AP5" s="197" t="s">
        <v>300</v>
      </c>
      <c r="AR5" s="234"/>
      <c r="AS5" s="197" t="s">
        <v>294</v>
      </c>
      <c r="AT5" s="197" t="s">
        <v>295</v>
      </c>
      <c r="AU5" s="197" t="s">
        <v>294</v>
      </c>
      <c r="AV5" s="197" t="s">
        <v>295</v>
      </c>
      <c r="AW5" s="197" t="s">
        <v>294</v>
      </c>
      <c r="AX5" s="197" t="s">
        <v>295</v>
      </c>
      <c r="AY5" s="197" t="s">
        <v>294</v>
      </c>
      <c r="AZ5" s="197" t="s">
        <v>295</v>
      </c>
      <c r="BA5" s="197" t="s">
        <v>294</v>
      </c>
      <c r="BB5" s="197" t="s">
        <v>295</v>
      </c>
      <c r="BC5" s="197" t="s">
        <v>294</v>
      </c>
      <c r="BD5" s="197" t="s">
        <v>295</v>
      </c>
      <c r="BE5" s="197" t="s">
        <v>294</v>
      </c>
      <c r="BF5" s="197" t="s">
        <v>295</v>
      </c>
      <c r="BG5" s="197" t="s">
        <v>300</v>
      </c>
    </row>
    <row r="6" spans="1:59" x14ac:dyDescent="0.25">
      <c r="A6" s="79">
        <v>2</v>
      </c>
      <c r="B6" s="193">
        <v>46425600.000000007</v>
      </c>
      <c r="C6" s="193"/>
      <c r="D6" s="193">
        <v>27855360.000000007</v>
      </c>
      <c r="E6" s="193">
        <v>62674560.000000015</v>
      </c>
      <c r="F6" s="193"/>
      <c r="G6" s="193"/>
      <c r="H6" s="193"/>
      <c r="I6" s="193"/>
      <c r="J6" s="193">
        <v>168491700</v>
      </c>
      <c r="K6" s="193"/>
      <c r="L6" s="193">
        <v>127003500</v>
      </c>
      <c r="M6" s="193"/>
      <c r="N6" s="193">
        <v>432450720</v>
      </c>
      <c r="AC6" s="198">
        <v>1</v>
      </c>
      <c r="AD6" s="199">
        <v>2</v>
      </c>
      <c r="AE6" s="199">
        <v>49</v>
      </c>
      <c r="AF6" s="199"/>
      <c r="AG6" s="199"/>
      <c r="AH6" s="199">
        <v>1</v>
      </c>
      <c r="AI6" s="199">
        <v>20</v>
      </c>
      <c r="AJ6" s="199"/>
      <c r="AK6" s="199"/>
      <c r="AL6" s="199"/>
      <c r="AM6" s="199"/>
      <c r="AN6" s="199">
        <f>AD6+AF6+AH6+AJ6+AL6</f>
        <v>3</v>
      </c>
      <c r="AO6" s="199">
        <f>AE6+AG6+AI6+AK6+AM6</f>
        <v>69</v>
      </c>
      <c r="AP6" s="202">
        <v>597827295</v>
      </c>
      <c r="AQ6" s="205"/>
      <c r="AR6" s="198">
        <v>1</v>
      </c>
      <c r="AS6" s="199"/>
      <c r="AT6" s="199"/>
      <c r="AU6" s="199">
        <v>2</v>
      </c>
      <c r="AV6" s="199">
        <v>70</v>
      </c>
      <c r="AW6" s="199"/>
      <c r="AX6" s="199"/>
      <c r="AY6" s="199">
        <v>1</v>
      </c>
      <c r="AZ6" s="199">
        <v>27</v>
      </c>
      <c r="BA6" s="199"/>
      <c r="BB6" s="199"/>
      <c r="BC6" s="199"/>
      <c r="BD6" s="199"/>
      <c r="BE6" s="199">
        <f>AS6+AU6+AW6+AY6+BA6+BC6</f>
        <v>3</v>
      </c>
      <c r="BF6" s="199">
        <f>AT6+AV6+AX6+AZ6+BB6+BD6</f>
        <v>97</v>
      </c>
      <c r="BG6" s="202">
        <v>599901705</v>
      </c>
    </row>
    <row r="7" spans="1:59" x14ac:dyDescent="0.25">
      <c r="A7" s="79">
        <v>3</v>
      </c>
      <c r="B7" s="193">
        <v>134380350</v>
      </c>
      <c r="C7" s="193"/>
      <c r="D7" s="193">
        <v>41347800</v>
      </c>
      <c r="E7" s="193">
        <v>41347800</v>
      </c>
      <c r="F7" s="193">
        <v>100386000.00000001</v>
      </c>
      <c r="G7" s="193">
        <v>146893500</v>
      </c>
      <c r="H7" s="193">
        <v>202176000</v>
      </c>
      <c r="I7" s="193"/>
      <c r="J7" s="193">
        <v>118813500</v>
      </c>
      <c r="K7" s="193"/>
      <c r="L7" s="193"/>
      <c r="M7" s="193"/>
      <c r="N7" s="193">
        <v>785344950</v>
      </c>
      <c r="AC7" s="198">
        <v>2</v>
      </c>
      <c r="AD7" s="199"/>
      <c r="AE7" s="199"/>
      <c r="AF7" s="199"/>
      <c r="AG7" s="199"/>
      <c r="AH7" s="199">
        <v>2</v>
      </c>
      <c r="AI7" s="199">
        <v>24</v>
      </c>
      <c r="AJ7" s="199"/>
      <c r="AK7" s="199"/>
      <c r="AL7" s="199">
        <v>1</v>
      </c>
      <c r="AM7" s="199">
        <v>12</v>
      </c>
      <c r="AN7" s="199">
        <f t="shared" ref="AN7:AN21" si="0">AD7+AF7+AH7+AJ7+AL7</f>
        <v>3</v>
      </c>
      <c r="AO7" s="199">
        <f t="shared" ref="AO7:AO21" si="1">AE7+AG7+AI7+AK7+AM7</f>
        <v>36</v>
      </c>
      <c r="AP7" s="202">
        <v>367883100.00000006</v>
      </c>
      <c r="AQ7" s="205"/>
      <c r="AR7" s="198">
        <v>2</v>
      </c>
      <c r="AS7" s="199"/>
      <c r="AT7" s="199"/>
      <c r="AU7" s="199">
        <v>2</v>
      </c>
      <c r="AV7" s="199">
        <v>37</v>
      </c>
      <c r="AW7" s="199"/>
      <c r="AX7" s="199"/>
      <c r="AY7" s="199"/>
      <c r="AZ7" s="199"/>
      <c r="BA7" s="199"/>
      <c r="BB7" s="199"/>
      <c r="BC7" s="199"/>
      <c r="BD7" s="199"/>
      <c r="BE7" s="199">
        <f t="shared" ref="BE7:BE21" si="2">AS7+AU7+AW7+AY7+BA7+BC7</f>
        <v>2</v>
      </c>
      <c r="BF7" s="199">
        <f t="shared" ref="BF7:BF21" si="3">AT7+AV7+AX7+AZ7+BB7+BD7</f>
        <v>37</v>
      </c>
      <c r="BG7" s="202">
        <v>432450720</v>
      </c>
    </row>
    <row r="8" spans="1:59" x14ac:dyDescent="0.25">
      <c r="A8" s="79">
        <v>4</v>
      </c>
      <c r="B8" s="193">
        <v>169634790</v>
      </c>
      <c r="C8" s="193"/>
      <c r="D8" s="193"/>
      <c r="E8" s="193"/>
      <c r="F8" s="193">
        <v>332601750</v>
      </c>
      <c r="G8" s="193"/>
      <c r="H8" s="193">
        <v>226746000.00000006</v>
      </c>
      <c r="I8" s="193"/>
      <c r="J8" s="193"/>
      <c r="K8" s="193"/>
      <c r="L8" s="193">
        <v>189496125</v>
      </c>
      <c r="M8" s="193"/>
      <c r="N8" s="193">
        <v>918478665</v>
      </c>
      <c r="AC8" s="198">
        <v>3</v>
      </c>
      <c r="AD8" s="199">
        <v>2</v>
      </c>
      <c r="AE8" s="199">
        <v>20</v>
      </c>
      <c r="AF8" s="199">
        <v>1</v>
      </c>
      <c r="AG8" s="199">
        <v>30</v>
      </c>
      <c r="AH8" s="199">
        <v>1</v>
      </c>
      <c r="AI8" s="199">
        <v>20</v>
      </c>
      <c r="AJ8" s="199"/>
      <c r="AK8" s="199"/>
      <c r="AL8" s="199"/>
      <c r="AM8" s="199"/>
      <c r="AN8" s="199">
        <f t="shared" si="0"/>
        <v>4</v>
      </c>
      <c r="AO8" s="199">
        <f t="shared" si="1"/>
        <v>70</v>
      </c>
      <c r="AP8" s="202">
        <v>816355800</v>
      </c>
      <c r="AQ8" s="205"/>
      <c r="AR8" s="198">
        <v>3</v>
      </c>
      <c r="AS8" s="199"/>
      <c r="AT8" s="199"/>
      <c r="AU8" s="199">
        <v>2</v>
      </c>
      <c r="AV8" s="199">
        <v>50</v>
      </c>
      <c r="AW8" s="199">
        <v>1</v>
      </c>
      <c r="AX8" s="199">
        <v>30</v>
      </c>
      <c r="AY8" s="199"/>
      <c r="AZ8" s="199"/>
      <c r="BA8" s="199"/>
      <c r="BB8" s="199"/>
      <c r="BC8" s="199">
        <v>1</v>
      </c>
      <c r="BD8" s="199">
        <v>20</v>
      </c>
      <c r="BE8" s="199">
        <f t="shared" si="2"/>
        <v>4</v>
      </c>
      <c r="BF8" s="199">
        <f t="shared" si="3"/>
        <v>100</v>
      </c>
      <c r="BG8" s="202">
        <v>785344950</v>
      </c>
    </row>
    <row r="9" spans="1:59" x14ac:dyDescent="0.25">
      <c r="A9" s="79">
        <v>5</v>
      </c>
      <c r="B9" s="193">
        <v>322803000</v>
      </c>
      <c r="C9" s="193">
        <v>90675000</v>
      </c>
      <c r="D9" s="193"/>
      <c r="E9" s="193">
        <v>85234500</v>
      </c>
      <c r="F9" s="193">
        <v>630147375</v>
      </c>
      <c r="G9" s="193"/>
      <c r="H9" s="193">
        <v>132923700</v>
      </c>
      <c r="I9" s="193"/>
      <c r="J9" s="193">
        <v>261769950</v>
      </c>
      <c r="K9" s="193"/>
      <c r="L9" s="193">
        <v>110623500.00000003</v>
      </c>
      <c r="M9" s="193">
        <v>163507500</v>
      </c>
      <c r="N9" s="193">
        <v>1797684525</v>
      </c>
      <c r="AC9" s="198">
        <v>4</v>
      </c>
      <c r="AD9" s="199">
        <v>4</v>
      </c>
      <c r="AE9" s="199">
        <v>59</v>
      </c>
      <c r="AF9" s="199">
        <v>1</v>
      </c>
      <c r="AG9" s="199">
        <v>25</v>
      </c>
      <c r="AH9" s="199"/>
      <c r="AI9" s="199"/>
      <c r="AJ9" s="199"/>
      <c r="AK9" s="199"/>
      <c r="AL9" s="199">
        <v>2</v>
      </c>
      <c r="AM9" s="199">
        <v>24</v>
      </c>
      <c r="AN9" s="199">
        <f t="shared" si="0"/>
        <v>7</v>
      </c>
      <c r="AO9" s="199">
        <f t="shared" si="1"/>
        <v>108</v>
      </c>
      <c r="AP9" s="202">
        <v>846394380</v>
      </c>
      <c r="AQ9" s="205"/>
      <c r="AR9" s="198">
        <v>4</v>
      </c>
      <c r="AS9" s="199">
        <v>1</v>
      </c>
      <c r="AT9" s="199">
        <v>30</v>
      </c>
      <c r="AU9" s="199">
        <v>2</v>
      </c>
      <c r="AV9" s="199">
        <v>65</v>
      </c>
      <c r="AW9" s="199"/>
      <c r="AX9" s="199"/>
      <c r="AY9" s="199">
        <v>1</v>
      </c>
      <c r="AZ9" s="199">
        <v>20</v>
      </c>
      <c r="BA9" s="199"/>
      <c r="BB9" s="199"/>
      <c r="BC9" s="199">
        <v>1</v>
      </c>
      <c r="BD9" s="199">
        <v>15</v>
      </c>
      <c r="BE9" s="199">
        <f t="shared" si="2"/>
        <v>5</v>
      </c>
      <c r="BF9" s="199">
        <f t="shared" si="3"/>
        <v>130</v>
      </c>
      <c r="BG9" s="202">
        <v>918478665.00000012</v>
      </c>
    </row>
    <row r="10" spans="1:59" x14ac:dyDescent="0.25">
      <c r="A10" s="79">
        <v>6</v>
      </c>
      <c r="B10" s="193">
        <v>72540000</v>
      </c>
      <c r="C10" s="193">
        <v>90675000</v>
      </c>
      <c r="D10" s="193"/>
      <c r="E10" s="193"/>
      <c r="F10" s="193">
        <v>202673250</v>
      </c>
      <c r="G10" s="193"/>
      <c r="H10" s="193"/>
      <c r="I10" s="193"/>
      <c r="J10" s="193">
        <v>336632400</v>
      </c>
      <c r="K10" s="193"/>
      <c r="L10" s="193"/>
      <c r="M10" s="193"/>
      <c r="N10" s="193">
        <v>702520650</v>
      </c>
      <c r="AC10" s="198">
        <v>5</v>
      </c>
      <c r="AD10" s="199">
        <v>4</v>
      </c>
      <c r="AE10" s="199">
        <v>135</v>
      </c>
      <c r="AF10" s="199">
        <v>1</v>
      </c>
      <c r="AG10" s="199">
        <v>21</v>
      </c>
      <c r="AH10" s="199">
        <v>3</v>
      </c>
      <c r="AI10" s="199">
        <v>55</v>
      </c>
      <c r="AJ10" s="199"/>
      <c r="AK10" s="199"/>
      <c r="AL10" s="199">
        <v>1</v>
      </c>
      <c r="AM10" s="199">
        <v>10</v>
      </c>
      <c r="AN10" s="199">
        <f t="shared" si="0"/>
        <v>9</v>
      </c>
      <c r="AO10" s="199">
        <f t="shared" si="1"/>
        <v>221</v>
      </c>
      <c r="AP10" s="202">
        <v>1567238400</v>
      </c>
      <c r="AQ10" s="205"/>
      <c r="AR10" s="198">
        <v>5</v>
      </c>
      <c r="AS10" s="199"/>
      <c r="AT10" s="199"/>
      <c r="AU10" s="199">
        <v>4</v>
      </c>
      <c r="AV10" s="199">
        <v>135</v>
      </c>
      <c r="AW10" s="199">
        <v>2</v>
      </c>
      <c r="AX10" s="199">
        <v>41</v>
      </c>
      <c r="AY10" s="199">
        <v>4</v>
      </c>
      <c r="AZ10" s="199">
        <v>63</v>
      </c>
      <c r="BA10" s="199"/>
      <c r="BB10" s="199"/>
      <c r="BC10" s="199">
        <v>1</v>
      </c>
      <c r="BD10" s="199">
        <v>20</v>
      </c>
      <c r="BE10" s="199">
        <f t="shared" si="2"/>
        <v>11</v>
      </c>
      <c r="BF10" s="199">
        <f t="shared" si="3"/>
        <v>259</v>
      </c>
      <c r="BG10" s="202">
        <v>1797684525</v>
      </c>
    </row>
    <row r="11" spans="1:59" x14ac:dyDescent="0.25">
      <c r="A11" s="79">
        <v>7</v>
      </c>
      <c r="B11" s="193">
        <v>311196600</v>
      </c>
      <c r="C11" s="193"/>
      <c r="D11" s="193"/>
      <c r="E11" s="193"/>
      <c r="F11" s="193">
        <v>882414000</v>
      </c>
      <c r="G11" s="193"/>
      <c r="H11" s="193">
        <v>329144400</v>
      </c>
      <c r="I11" s="193"/>
      <c r="J11" s="193"/>
      <c r="K11" s="193"/>
      <c r="L11" s="193"/>
      <c r="M11" s="193"/>
      <c r="N11" s="193">
        <v>1522755000</v>
      </c>
      <c r="AC11" s="198">
        <v>6</v>
      </c>
      <c r="AD11" s="199">
        <v>2</v>
      </c>
      <c r="AE11" s="199">
        <v>40</v>
      </c>
      <c r="AF11" s="199"/>
      <c r="AG11" s="199"/>
      <c r="AH11" s="199">
        <v>2</v>
      </c>
      <c r="AI11" s="199">
        <v>40</v>
      </c>
      <c r="AJ11" s="199"/>
      <c r="AK11" s="199"/>
      <c r="AL11" s="199"/>
      <c r="AM11" s="199"/>
      <c r="AN11" s="199">
        <f t="shared" si="0"/>
        <v>4</v>
      </c>
      <c r="AO11" s="199">
        <f t="shared" si="1"/>
        <v>80</v>
      </c>
      <c r="AP11" s="202">
        <v>623259000</v>
      </c>
      <c r="AQ11" s="205"/>
      <c r="AR11" s="198">
        <v>6</v>
      </c>
      <c r="AS11" s="199"/>
      <c r="AT11" s="199"/>
      <c r="AU11" s="199">
        <v>2</v>
      </c>
      <c r="AV11" s="199">
        <v>98</v>
      </c>
      <c r="AW11" s="199">
        <v>1</v>
      </c>
      <c r="AX11" s="199">
        <v>41</v>
      </c>
      <c r="AY11" s="199"/>
      <c r="AZ11" s="199"/>
      <c r="BA11" s="199"/>
      <c r="BB11" s="199"/>
      <c r="BC11" s="199"/>
      <c r="BD11" s="199"/>
      <c r="BE11" s="199">
        <f t="shared" si="2"/>
        <v>3</v>
      </c>
      <c r="BF11" s="199">
        <f t="shared" si="3"/>
        <v>139</v>
      </c>
      <c r="BG11" s="202">
        <v>702520650</v>
      </c>
    </row>
    <row r="12" spans="1:59" x14ac:dyDescent="0.25">
      <c r="A12" s="79">
        <v>8</v>
      </c>
      <c r="B12" s="193">
        <v>200205720</v>
      </c>
      <c r="C12" s="193"/>
      <c r="D12" s="193"/>
      <c r="E12" s="193"/>
      <c r="F12" s="193">
        <v>1078353900</v>
      </c>
      <c r="G12" s="193"/>
      <c r="H12" s="193"/>
      <c r="I12" s="193"/>
      <c r="J12" s="193"/>
      <c r="K12" s="193"/>
      <c r="L12" s="193"/>
      <c r="M12" s="193">
        <v>31010850</v>
      </c>
      <c r="N12" s="193">
        <v>1309570470</v>
      </c>
      <c r="AC12" s="198">
        <v>7</v>
      </c>
      <c r="AD12" s="199">
        <v>8</v>
      </c>
      <c r="AE12" s="199">
        <v>172</v>
      </c>
      <c r="AF12" s="199">
        <v>2</v>
      </c>
      <c r="AG12" s="199">
        <v>40</v>
      </c>
      <c r="AH12" s="199"/>
      <c r="AI12" s="199"/>
      <c r="AJ12" s="199"/>
      <c r="AK12" s="199"/>
      <c r="AL12" s="199"/>
      <c r="AM12" s="199"/>
      <c r="AN12" s="199">
        <f t="shared" si="0"/>
        <v>10</v>
      </c>
      <c r="AO12" s="199">
        <f t="shared" si="1"/>
        <v>212</v>
      </c>
      <c r="AP12" s="202">
        <v>1464442200</v>
      </c>
      <c r="AQ12" s="205"/>
      <c r="AR12" s="198">
        <v>7</v>
      </c>
      <c r="AS12" s="199"/>
      <c r="AT12" s="199"/>
      <c r="AU12" s="199">
        <v>3</v>
      </c>
      <c r="AV12" s="199">
        <v>80</v>
      </c>
      <c r="AW12" s="199">
        <v>1</v>
      </c>
      <c r="AX12" s="199">
        <v>26</v>
      </c>
      <c r="AY12" s="199">
        <v>5</v>
      </c>
      <c r="AZ12" s="199">
        <v>110</v>
      </c>
      <c r="BA12" s="199">
        <v>1</v>
      </c>
      <c r="BB12" s="199">
        <v>26</v>
      </c>
      <c r="BC12" s="199"/>
      <c r="BD12" s="199"/>
      <c r="BE12" s="199">
        <f t="shared" si="2"/>
        <v>10</v>
      </c>
      <c r="BF12" s="199">
        <f t="shared" si="3"/>
        <v>242</v>
      </c>
      <c r="BG12" s="202">
        <v>1522755000</v>
      </c>
    </row>
    <row r="13" spans="1:59" x14ac:dyDescent="0.25">
      <c r="A13" s="79">
        <v>9</v>
      </c>
      <c r="B13" s="193">
        <v>196402050</v>
      </c>
      <c r="C13" s="193"/>
      <c r="D13" s="193"/>
      <c r="E13" s="193"/>
      <c r="F13" s="193">
        <v>372147750</v>
      </c>
      <c r="G13" s="193"/>
      <c r="H13" s="193">
        <v>137241000</v>
      </c>
      <c r="I13" s="193"/>
      <c r="J13" s="193"/>
      <c r="K13" s="193"/>
      <c r="L13" s="193"/>
      <c r="M13" s="193"/>
      <c r="N13" s="193">
        <v>705790800</v>
      </c>
      <c r="AC13" s="198">
        <v>8</v>
      </c>
      <c r="AD13" s="199">
        <v>8</v>
      </c>
      <c r="AE13" s="199">
        <v>162</v>
      </c>
      <c r="AF13" s="199">
        <v>1</v>
      </c>
      <c r="AG13" s="199">
        <v>15</v>
      </c>
      <c r="AH13" s="199"/>
      <c r="AI13" s="199"/>
      <c r="AJ13" s="199"/>
      <c r="AK13" s="199"/>
      <c r="AL13" s="199"/>
      <c r="AM13" s="199"/>
      <c r="AN13" s="199">
        <f t="shared" si="0"/>
        <v>9</v>
      </c>
      <c r="AO13" s="199">
        <f t="shared" si="1"/>
        <v>177</v>
      </c>
      <c r="AP13" s="202">
        <v>1259995230</v>
      </c>
      <c r="AQ13" s="205"/>
      <c r="AR13" s="198">
        <v>8</v>
      </c>
      <c r="AS13" s="199"/>
      <c r="AT13" s="199"/>
      <c r="AU13" s="199">
        <v>2</v>
      </c>
      <c r="AV13" s="199">
        <v>54</v>
      </c>
      <c r="AW13" s="199"/>
      <c r="AX13" s="199"/>
      <c r="AY13" s="199">
        <v>7</v>
      </c>
      <c r="AZ13" s="199">
        <v>172</v>
      </c>
      <c r="BA13" s="199"/>
      <c r="BB13" s="199"/>
      <c r="BC13" s="199"/>
      <c r="BD13" s="199"/>
      <c r="BE13" s="199">
        <f t="shared" si="2"/>
        <v>9</v>
      </c>
      <c r="BF13" s="199">
        <f t="shared" si="3"/>
        <v>226</v>
      </c>
      <c r="BG13" s="202">
        <v>1309570470</v>
      </c>
    </row>
    <row r="14" spans="1:59" x14ac:dyDescent="0.25">
      <c r="A14" s="79">
        <v>10</v>
      </c>
      <c r="B14" s="193">
        <v>62021700</v>
      </c>
      <c r="C14" s="193"/>
      <c r="D14" s="193"/>
      <c r="E14" s="193">
        <v>76167000</v>
      </c>
      <c r="F14" s="193">
        <v>210600000</v>
      </c>
      <c r="G14" s="193"/>
      <c r="H14" s="193"/>
      <c r="I14" s="193"/>
      <c r="J14" s="193">
        <v>208962000</v>
      </c>
      <c r="K14" s="193"/>
      <c r="L14" s="193"/>
      <c r="M14" s="193"/>
      <c r="N14" s="193">
        <v>557750700</v>
      </c>
      <c r="AC14" s="198">
        <v>9</v>
      </c>
      <c r="AD14" s="199">
        <v>3</v>
      </c>
      <c r="AE14" s="199">
        <v>70</v>
      </c>
      <c r="AF14" s="199">
        <v>1</v>
      </c>
      <c r="AG14" s="199">
        <v>20</v>
      </c>
      <c r="AH14" s="199"/>
      <c r="AI14" s="199"/>
      <c r="AJ14" s="199"/>
      <c r="AK14" s="199"/>
      <c r="AL14" s="199"/>
      <c r="AM14" s="199"/>
      <c r="AN14" s="199">
        <f t="shared" si="0"/>
        <v>4</v>
      </c>
      <c r="AO14" s="199">
        <f t="shared" si="1"/>
        <v>90</v>
      </c>
      <c r="AP14" s="202">
        <v>670971600</v>
      </c>
      <c r="AQ14" s="205"/>
      <c r="AR14" s="198">
        <v>9</v>
      </c>
      <c r="AS14" s="199"/>
      <c r="AT14" s="199"/>
      <c r="AU14" s="199">
        <v>3</v>
      </c>
      <c r="AV14" s="199">
        <v>75</v>
      </c>
      <c r="AW14" s="199">
        <v>1</v>
      </c>
      <c r="AX14" s="199">
        <v>20</v>
      </c>
      <c r="AY14" s="199"/>
      <c r="AZ14" s="199"/>
      <c r="BA14" s="199"/>
      <c r="BB14" s="199"/>
      <c r="BC14" s="199"/>
      <c r="BD14" s="199"/>
      <c r="BE14" s="199">
        <f t="shared" si="2"/>
        <v>4</v>
      </c>
      <c r="BF14" s="199">
        <f t="shared" si="3"/>
        <v>95</v>
      </c>
      <c r="BG14" s="202">
        <v>705790800</v>
      </c>
    </row>
    <row r="15" spans="1:59" x14ac:dyDescent="0.25">
      <c r="A15" s="79">
        <v>11</v>
      </c>
      <c r="B15" s="193">
        <v>66736800.000000015</v>
      </c>
      <c r="C15" s="193"/>
      <c r="D15" s="193"/>
      <c r="E15" s="193"/>
      <c r="F15" s="193"/>
      <c r="G15" s="193"/>
      <c r="H15" s="193">
        <v>178191000</v>
      </c>
      <c r="I15" s="193"/>
      <c r="J15" s="193"/>
      <c r="K15" s="193"/>
      <c r="L15" s="193"/>
      <c r="M15" s="193"/>
      <c r="N15" s="193">
        <v>244927800</v>
      </c>
      <c r="AC15" s="198">
        <v>10</v>
      </c>
      <c r="AD15" s="199">
        <v>2</v>
      </c>
      <c r="AE15" s="199">
        <v>30</v>
      </c>
      <c r="AF15" s="199"/>
      <c r="AG15" s="199"/>
      <c r="AH15" s="199">
        <v>2</v>
      </c>
      <c r="AI15" s="199">
        <v>30</v>
      </c>
      <c r="AJ15" s="199"/>
      <c r="AK15" s="199"/>
      <c r="AL15" s="199"/>
      <c r="AM15" s="199"/>
      <c r="AN15" s="199">
        <f t="shared" si="0"/>
        <v>4</v>
      </c>
      <c r="AO15" s="199">
        <f t="shared" si="1"/>
        <v>60</v>
      </c>
      <c r="AP15" s="202">
        <v>514864350</v>
      </c>
      <c r="AQ15" s="205"/>
      <c r="AR15" s="198">
        <v>10</v>
      </c>
      <c r="AS15" s="199"/>
      <c r="AT15" s="199"/>
      <c r="AU15" s="199"/>
      <c r="AV15" s="199"/>
      <c r="AW15" s="199"/>
      <c r="AX15" s="199"/>
      <c r="AY15" s="199">
        <v>1</v>
      </c>
      <c r="AZ15" s="199">
        <v>60</v>
      </c>
      <c r="BA15" s="199"/>
      <c r="BB15" s="199"/>
      <c r="BC15" s="199"/>
      <c r="BD15" s="199"/>
      <c r="BE15" s="199">
        <f t="shared" si="2"/>
        <v>1</v>
      </c>
      <c r="BF15" s="199">
        <f t="shared" si="3"/>
        <v>60</v>
      </c>
      <c r="BG15" s="202">
        <v>557750700</v>
      </c>
    </row>
    <row r="16" spans="1:59" x14ac:dyDescent="0.25">
      <c r="A16" s="79">
        <v>12</v>
      </c>
      <c r="B16" s="193">
        <v>84871800.000000015</v>
      </c>
      <c r="C16" s="193"/>
      <c r="D16" s="193"/>
      <c r="E16" s="193"/>
      <c r="F16" s="193"/>
      <c r="G16" s="193"/>
      <c r="H16" s="193"/>
      <c r="I16" s="193"/>
      <c r="J16" s="193"/>
      <c r="K16" s="193"/>
      <c r="L16" s="193">
        <v>230947200.00000006</v>
      </c>
      <c r="M16" s="193"/>
      <c r="N16" s="193">
        <v>315819000.00000006</v>
      </c>
      <c r="AC16" s="198">
        <v>11</v>
      </c>
      <c r="AD16" s="199"/>
      <c r="AE16" s="199"/>
      <c r="AF16" s="199">
        <v>1</v>
      </c>
      <c r="AG16" s="199">
        <v>20</v>
      </c>
      <c r="AH16" s="199"/>
      <c r="AI16" s="199"/>
      <c r="AJ16" s="199"/>
      <c r="AK16" s="199"/>
      <c r="AL16" s="199"/>
      <c r="AM16" s="199"/>
      <c r="AN16" s="199">
        <f t="shared" si="0"/>
        <v>1</v>
      </c>
      <c r="AO16" s="199">
        <f t="shared" si="1"/>
        <v>20</v>
      </c>
      <c r="AP16" s="202">
        <v>244927800</v>
      </c>
      <c r="AQ16" s="205"/>
      <c r="AR16" s="198">
        <v>11</v>
      </c>
      <c r="AS16" s="199"/>
      <c r="AT16" s="199"/>
      <c r="AU16" s="199"/>
      <c r="AV16" s="199"/>
      <c r="AW16" s="199">
        <v>1</v>
      </c>
      <c r="AX16" s="199">
        <v>20</v>
      </c>
      <c r="AY16" s="199"/>
      <c r="AZ16" s="199"/>
      <c r="BA16" s="199"/>
      <c r="BB16" s="199"/>
      <c r="BC16" s="199"/>
      <c r="BD16" s="199"/>
      <c r="BE16" s="199">
        <f t="shared" si="2"/>
        <v>1</v>
      </c>
      <c r="BF16" s="199">
        <f t="shared" si="3"/>
        <v>20</v>
      </c>
      <c r="BG16" s="202">
        <v>244927800</v>
      </c>
    </row>
    <row r="17" spans="1:59" x14ac:dyDescent="0.25">
      <c r="A17" s="79">
        <v>13</v>
      </c>
      <c r="B17" s="193">
        <v>525915000</v>
      </c>
      <c r="C17" s="193">
        <v>21762000</v>
      </c>
      <c r="D17" s="193"/>
      <c r="E17" s="193">
        <v>21762000</v>
      </c>
      <c r="F17" s="193">
        <v>1254357000</v>
      </c>
      <c r="G17" s="193"/>
      <c r="H17" s="193">
        <v>495301950</v>
      </c>
      <c r="I17" s="193">
        <v>290862000</v>
      </c>
      <c r="J17" s="193">
        <v>66374100</v>
      </c>
      <c r="K17" s="193">
        <v>337006800</v>
      </c>
      <c r="L17" s="193">
        <v>162255600</v>
      </c>
      <c r="M17" s="193">
        <v>172662750</v>
      </c>
      <c r="N17" s="193">
        <v>3348259200</v>
      </c>
      <c r="AC17" s="198">
        <v>12</v>
      </c>
      <c r="AD17" s="199"/>
      <c r="AE17" s="199"/>
      <c r="AF17" s="199"/>
      <c r="AG17" s="199"/>
      <c r="AH17" s="199"/>
      <c r="AI17" s="199"/>
      <c r="AJ17" s="199"/>
      <c r="AK17" s="199"/>
      <c r="AL17" s="199">
        <v>1</v>
      </c>
      <c r="AM17" s="199">
        <v>20</v>
      </c>
      <c r="AN17" s="199">
        <f t="shared" si="0"/>
        <v>1</v>
      </c>
      <c r="AO17" s="199">
        <f t="shared" si="1"/>
        <v>20</v>
      </c>
      <c r="AP17" s="202">
        <v>199964700</v>
      </c>
      <c r="AQ17" s="205"/>
      <c r="AR17" s="198">
        <v>12</v>
      </c>
      <c r="AS17" s="199"/>
      <c r="AT17" s="199"/>
      <c r="AU17" s="199">
        <v>1</v>
      </c>
      <c r="AV17" s="199">
        <v>50</v>
      </c>
      <c r="AW17" s="199"/>
      <c r="AX17" s="199"/>
      <c r="AY17" s="199"/>
      <c r="AZ17" s="199"/>
      <c r="BA17" s="199"/>
      <c r="BB17" s="199"/>
      <c r="BC17" s="199"/>
      <c r="BD17" s="199"/>
      <c r="BE17" s="199">
        <f t="shared" si="2"/>
        <v>1</v>
      </c>
      <c r="BF17" s="199">
        <f t="shared" si="3"/>
        <v>50</v>
      </c>
      <c r="BG17" s="202">
        <v>315819000.00000006</v>
      </c>
    </row>
    <row r="18" spans="1:59" x14ac:dyDescent="0.25">
      <c r="A18" s="79">
        <v>14</v>
      </c>
      <c r="B18" s="193">
        <v>84762990</v>
      </c>
      <c r="C18" s="193"/>
      <c r="D18" s="193"/>
      <c r="E18" s="193">
        <v>41347800</v>
      </c>
      <c r="F18" s="193">
        <v>274201200</v>
      </c>
      <c r="G18" s="193"/>
      <c r="H18" s="193"/>
      <c r="I18" s="193"/>
      <c r="J18" s="193">
        <v>118813500</v>
      </c>
      <c r="K18" s="193"/>
      <c r="L18" s="193"/>
      <c r="M18" s="193"/>
      <c r="N18" s="193">
        <v>519125490</v>
      </c>
      <c r="AC18" s="198">
        <v>13</v>
      </c>
      <c r="AD18" s="199">
        <v>10</v>
      </c>
      <c r="AE18" s="199">
        <v>300</v>
      </c>
      <c r="AF18" s="199">
        <v>5</v>
      </c>
      <c r="AG18" s="199">
        <v>101</v>
      </c>
      <c r="AH18" s="199">
        <v>1</v>
      </c>
      <c r="AI18" s="199">
        <v>12</v>
      </c>
      <c r="AJ18" s="199">
        <v>2</v>
      </c>
      <c r="AK18" s="199">
        <v>56</v>
      </c>
      <c r="AL18" s="199">
        <v>2</v>
      </c>
      <c r="AM18" s="199">
        <v>22</v>
      </c>
      <c r="AN18" s="199">
        <f t="shared" si="0"/>
        <v>20</v>
      </c>
      <c r="AO18" s="199">
        <f t="shared" si="1"/>
        <v>491</v>
      </c>
      <c r="AP18" s="202">
        <v>3164077800</v>
      </c>
      <c r="AQ18" s="205"/>
      <c r="AR18" s="198">
        <v>13</v>
      </c>
      <c r="AS18" s="199">
        <v>2</v>
      </c>
      <c r="AT18" s="199">
        <v>40</v>
      </c>
      <c r="AU18" s="199">
        <v>8</v>
      </c>
      <c r="AV18" s="199">
        <v>276</v>
      </c>
      <c r="AW18" s="199">
        <v>3</v>
      </c>
      <c r="AX18" s="199">
        <v>74</v>
      </c>
      <c r="AY18" s="199">
        <v>6</v>
      </c>
      <c r="AZ18" s="199">
        <v>202</v>
      </c>
      <c r="BA18" s="199"/>
      <c r="BB18" s="199"/>
      <c r="BC18" s="199"/>
      <c r="BD18" s="199"/>
      <c r="BE18" s="199">
        <f t="shared" si="2"/>
        <v>19</v>
      </c>
      <c r="BF18" s="199">
        <f t="shared" si="3"/>
        <v>592</v>
      </c>
      <c r="BG18" s="202">
        <v>3348259200</v>
      </c>
    </row>
    <row r="19" spans="1:59" x14ac:dyDescent="0.25">
      <c r="A19" s="79">
        <v>15</v>
      </c>
      <c r="B19" s="193">
        <v>69638400.000000015</v>
      </c>
      <c r="C19" s="193"/>
      <c r="D19" s="193"/>
      <c r="E19" s="193"/>
      <c r="F19" s="193">
        <v>214695000</v>
      </c>
      <c r="G19" s="193"/>
      <c r="H19" s="193">
        <v>214461000</v>
      </c>
      <c r="I19" s="193"/>
      <c r="J19" s="193"/>
      <c r="K19" s="193"/>
      <c r="L19" s="193"/>
      <c r="M19" s="193"/>
      <c r="N19" s="193">
        <v>498794400</v>
      </c>
      <c r="AC19" s="198">
        <v>14</v>
      </c>
      <c r="AD19" s="199">
        <v>2</v>
      </c>
      <c r="AE19" s="199">
        <v>40</v>
      </c>
      <c r="AF19" s="199">
        <v>1</v>
      </c>
      <c r="AG19" s="199">
        <v>20</v>
      </c>
      <c r="AH19" s="199">
        <v>1</v>
      </c>
      <c r="AI19" s="199">
        <v>20</v>
      </c>
      <c r="AJ19" s="199"/>
      <c r="AK19" s="199"/>
      <c r="AL19" s="199"/>
      <c r="AM19" s="199"/>
      <c r="AN19" s="199">
        <f t="shared" si="0"/>
        <v>4</v>
      </c>
      <c r="AO19" s="199">
        <f t="shared" si="1"/>
        <v>80</v>
      </c>
      <c r="AP19" s="202">
        <v>663565500</v>
      </c>
      <c r="AQ19" s="205"/>
      <c r="AR19" s="198">
        <v>14</v>
      </c>
      <c r="AS19" s="199"/>
      <c r="AT19" s="199"/>
      <c r="AU19" s="199">
        <v>2</v>
      </c>
      <c r="AV19" s="199">
        <v>56</v>
      </c>
      <c r="AW19" s="199"/>
      <c r="AX19" s="199"/>
      <c r="AY19" s="199"/>
      <c r="AZ19" s="199"/>
      <c r="BA19" s="199"/>
      <c r="BB19" s="199"/>
      <c r="BC19" s="199">
        <v>1</v>
      </c>
      <c r="BD19" s="199">
        <v>20</v>
      </c>
      <c r="BE19" s="199">
        <f t="shared" si="2"/>
        <v>3</v>
      </c>
      <c r="BF19" s="199">
        <f t="shared" si="3"/>
        <v>76</v>
      </c>
      <c r="BG19" s="202">
        <v>519125490</v>
      </c>
    </row>
    <row r="20" spans="1:59" x14ac:dyDescent="0.25">
      <c r="A20" s="79">
        <v>16</v>
      </c>
      <c r="B20" s="193"/>
      <c r="C20" s="193">
        <v>51684750</v>
      </c>
      <c r="D20" s="193"/>
      <c r="E20" s="193">
        <v>122411250</v>
      </c>
      <c r="F20" s="193"/>
      <c r="G20" s="193"/>
      <c r="H20" s="193"/>
      <c r="I20" s="193"/>
      <c r="J20" s="193">
        <v>153694125</v>
      </c>
      <c r="K20" s="193"/>
      <c r="L20" s="193"/>
      <c r="M20" s="193"/>
      <c r="N20" s="193">
        <v>327790125</v>
      </c>
      <c r="AC20" s="198">
        <v>15</v>
      </c>
      <c r="AD20" s="199">
        <v>1</v>
      </c>
      <c r="AE20" s="199">
        <v>20</v>
      </c>
      <c r="AF20" s="199">
        <v>1</v>
      </c>
      <c r="AG20" s="199">
        <v>30</v>
      </c>
      <c r="AH20" s="199"/>
      <c r="AI20" s="199"/>
      <c r="AJ20" s="199"/>
      <c r="AK20" s="199"/>
      <c r="AL20" s="199"/>
      <c r="AM20" s="199"/>
      <c r="AN20" s="199">
        <f t="shared" si="0"/>
        <v>2</v>
      </c>
      <c r="AO20" s="199">
        <f t="shared" si="1"/>
        <v>50</v>
      </c>
      <c r="AP20" s="202">
        <v>439101000.00000006</v>
      </c>
      <c r="AQ20" s="205"/>
      <c r="AR20" s="198">
        <v>15</v>
      </c>
      <c r="AS20" s="199"/>
      <c r="AT20" s="199"/>
      <c r="AU20" s="199"/>
      <c r="AV20" s="199"/>
      <c r="AW20" s="199">
        <v>1</v>
      </c>
      <c r="AX20" s="199">
        <v>30</v>
      </c>
      <c r="AY20" s="199">
        <v>1</v>
      </c>
      <c r="AZ20" s="199">
        <v>40</v>
      </c>
      <c r="BA20" s="199"/>
      <c r="BB20" s="199"/>
      <c r="BC20" s="199"/>
      <c r="BD20" s="199"/>
      <c r="BE20" s="199">
        <f t="shared" si="2"/>
        <v>2</v>
      </c>
      <c r="BF20" s="199">
        <f t="shared" si="3"/>
        <v>70</v>
      </c>
      <c r="BG20" s="202">
        <v>498794400</v>
      </c>
    </row>
    <row r="21" spans="1:59" x14ac:dyDescent="0.25">
      <c r="A21" s="79" t="s">
        <v>288</v>
      </c>
      <c r="B21" s="193">
        <v>2384675280</v>
      </c>
      <c r="C21" s="193">
        <v>301222350</v>
      </c>
      <c r="D21" s="193">
        <v>69203160</v>
      </c>
      <c r="E21" s="193">
        <v>450944910</v>
      </c>
      <c r="F21" s="193">
        <v>5552577225</v>
      </c>
      <c r="G21" s="193">
        <v>461603025</v>
      </c>
      <c r="H21" s="193">
        <v>1916185050</v>
      </c>
      <c r="I21" s="193">
        <v>290862000</v>
      </c>
      <c r="J21" s="193">
        <v>1635177375</v>
      </c>
      <c r="K21" s="193">
        <v>337006800</v>
      </c>
      <c r="L21" s="193">
        <v>820325925</v>
      </c>
      <c r="M21" s="193">
        <v>367181100</v>
      </c>
      <c r="N21" s="193">
        <v>14586964200</v>
      </c>
      <c r="AC21" s="198">
        <v>16</v>
      </c>
      <c r="AD21" s="199"/>
      <c r="AE21" s="199"/>
      <c r="AF21" s="199"/>
      <c r="AG21" s="199"/>
      <c r="AH21" s="199">
        <v>1</v>
      </c>
      <c r="AI21" s="199">
        <v>20</v>
      </c>
      <c r="AJ21" s="199"/>
      <c r="AK21" s="199"/>
      <c r="AL21" s="199"/>
      <c r="AM21" s="199"/>
      <c r="AN21" s="199">
        <f t="shared" si="0"/>
        <v>1</v>
      </c>
      <c r="AO21" s="199">
        <f t="shared" si="1"/>
        <v>20</v>
      </c>
      <c r="AP21" s="202">
        <v>183081600</v>
      </c>
      <c r="AQ21" s="205"/>
      <c r="AR21" s="198">
        <v>16</v>
      </c>
      <c r="AS21" s="199"/>
      <c r="AT21" s="199"/>
      <c r="AU21" s="199">
        <v>1</v>
      </c>
      <c r="AV21" s="199">
        <v>25</v>
      </c>
      <c r="AW21" s="199"/>
      <c r="AX21" s="199"/>
      <c r="AY21" s="199">
        <v>1</v>
      </c>
      <c r="AZ21" s="199">
        <v>31</v>
      </c>
      <c r="BA21" s="199"/>
      <c r="BB21" s="199"/>
      <c r="BC21" s="199"/>
      <c r="BD21" s="199"/>
      <c r="BE21" s="199">
        <f t="shared" si="2"/>
        <v>2</v>
      </c>
      <c r="BF21" s="199">
        <f t="shared" si="3"/>
        <v>56</v>
      </c>
      <c r="BG21" s="202">
        <v>327790125</v>
      </c>
    </row>
    <row r="22" spans="1:59" x14ac:dyDescent="0.25">
      <c r="AC22" s="197" t="s">
        <v>293</v>
      </c>
      <c r="AD22" s="200">
        <f>SUM(AD6:AD21)</f>
        <v>48</v>
      </c>
      <c r="AE22" s="200">
        <f t="shared" ref="AE22:AM22" si="4">SUM(AE6:AE21)</f>
        <v>1097</v>
      </c>
      <c r="AF22" s="200">
        <f t="shared" si="4"/>
        <v>15</v>
      </c>
      <c r="AG22" s="200">
        <f t="shared" si="4"/>
        <v>322</v>
      </c>
      <c r="AH22" s="200">
        <f t="shared" si="4"/>
        <v>14</v>
      </c>
      <c r="AI22" s="200">
        <f t="shared" si="4"/>
        <v>241</v>
      </c>
      <c r="AJ22" s="200">
        <f t="shared" si="4"/>
        <v>2</v>
      </c>
      <c r="AK22" s="200">
        <f t="shared" si="4"/>
        <v>56</v>
      </c>
      <c r="AL22" s="200">
        <f t="shared" si="4"/>
        <v>7</v>
      </c>
      <c r="AM22" s="200">
        <f t="shared" si="4"/>
        <v>88</v>
      </c>
      <c r="AN22" s="200">
        <f>SUM(AN6:AN21)</f>
        <v>86</v>
      </c>
      <c r="AO22" s="200">
        <f>SUM(AO6:AO21)</f>
        <v>1804</v>
      </c>
      <c r="AP22" s="203">
        <v>13623949755</v>
      </c>
      <c r="AQ22" s="206"/>
      <c r="AR22" s="197" t="s">
        <v>293</v>
      </c>
      <c r="AS22" s="200">
        <v>3</v>
      </c>
      <c r="AT22" s="200">
        <v>70</v>
      </c>
      <c r="AU22" s="200">
        <v>34</v>
      </c>
      <c r="AV22" s="200">
        <v>1071</v>
      </c>
      <c r="AW22" s="200">
        <v>10</v>
      </c>
      <c r="AX22" s="200">
        <v>252</v>
      </c>
      <c r="AY22" s="200">
        <v>27</v>
      </c>
      <c r="AZ22" s="200">
        <v>725</v>
      </c>
      <c r="BA22" s="200">
        <v>1</v>
      </c>
      <c r="BB22" s="200">
        <v>26</v>
      </c>
      <c r="BC22" s="200">
        <v>4</v>
      </c>
      <c r="BD22" s="200">
        <v>75</v>
      </c>
      <c r="BE22" s="200">
        <f>SUM(BE6:BE21)</f>
        <v>80</v>
      </c>
      <c r="BF22" s="200">
        <f>SUM(BF6:BF21)</f>
        <v>2249</v>
      </c>
      <c r="BG22" s="203">
        <v>14586964200</v>
      </c>
    </row>
  </sheetData>
  <mergeCells count="18">
    <mergeCell ref="B2:N2"/>
    <mergeCell ref="AC4:AC5"/>
    <mergeCell ref="AD4:AE4"/>
    <mergeCell ref="AF4:AG4"/>
    <mergeCell ref="AH4:AI4"/>
    <mergeCell ref="AL4:AM4"/>
    <mergeCell ref="AR4:AR5"/>
    <mergeCell ref="AS4:AT4"/>
    <mergeCell ref="AN4:AP4"/>
    <mergeCell ref="AC3:AP3"/>
    <mergeCell ref="AJ4:AK4"/>
    <mergeCell ref="BE4:BG4"/>
    <mergeCell ref="AR3:BG3"/>
    <mergeCell ref="AU4:AV4"/>
    <mergeCell ref="AW4:AX4"/>
    <mergeCell ref="AY4:AZ4"/>
    <mergeCell ref="BA4:BB4"/>
    <mergeCell ref="BC4:B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2"/>
  <sheetViews>
    <sheetView workbookViewId="0"/>
  </sheetViews>
  <sheetFormatPr baseColWidth="10" defaultRowHeight="15" x14ac:dyDescent="0.25"/>
  <cols>
    <col min="3" max="3" width="20.42578125" customWidth="1"/>
    <col min="12" max="13" width="16.140625" customWidth="1"/>
    <col min="24" max="24" width="14" customWidth="1"/>
    <col min="25" max="25" width="16.42578125" customWidth="1"/>
    <col min="26" max="26" width="20.28515625" customWidth="1"/>
  </cols>
  <sheetData>
    <row r="1" spans="1:26" ht="15.75" thickBot="1" x14ac:dyDescent="0.3"/>
    <row r="2" spans="1:26" ht="60" x14ac:dyDescent="0.25">
      <c r="A2" s="74" t="s">
        <v>0</v>
      </c>
      <c r="B2" s="75" t="s">
        <v>1</v>
      </c>
      <c r="C2" s="75" t="s">
        <v>2</v>
      </c>
      <c r="D2" s="75" t="s">
        <v>3</v>
      </c>
      <c r="E2" s="75" t="s">
        <v>4</v>
      </c>
      <c r="F2" s="75" t="s">
        <v>5</v>
      </c>
      <c r="G2" s="75" t="s">
        <v>6</v>
      </c>
      <c r="H2" s="75" t="s">
        <v>7</v>
      </c>
      <c r="I2" s="75" t="s">
        <v>8</v>
      </c>
      <c r="J2" s="75" t="s">
        <v>9</v>
      </c>
      <c r="K2" s="75" t="s">
        <v>10</v>
      </c>
      <c r="L2" s="75" t="s">
        <v>11</v>
      </c>
      <c r="M2" s="75" t="s">
        <v>12</v>
      </c>
      <c r="N2" s="75" t="s">
        <v>13</v>
      </c>
      <c r="O2" s="76" t="s">
        <v>14</v>
      </c>
      <c r="P2" s="77" t="s">
        <v>286</v>
      </c>
      <c r="Q2" s="77" t="s">
        <v>15</v>
      </c>
      <c r="R2" s="77" t="s">
        <v>16</v>
      </c>
      <c r="S2" s="77" t="s">
        <v>17</v>
      </c>
      <c r="T2" s="77" t="s">
        <v>18</v>
      </c>
      <c r="U2" s="77" t="s">
        <v>19</v>
      </c>
      <c r="V2" s="77" t="s">
        <v>20</v>
      </c>
      <c r="W2" s="77" t="s">
        <v>21</v>
      </c>
      <c r="X2" s="77" t="s">
        <v>22</v>
      </c>
      <c r="Y2" s="77" t="s">
        <v>23</v>
      </c>
      <c r="Z2" s="78" t="s">
        <v>24</v>
      </c>
    </row>
    <row r="3" spans="1:26" ht="38.25" x14ac:dyDescent="0.25">
      <c r="A3" s="161">
        <v>1</v>
      </c>
      <c r="B3" s="54">
        <v>5486</v>
      </c>
      <c r="C3" s="133" t="s">
        <v>25</v>
      </c>
      <c r="D3" s="133" t="s">
        <v>40</v>
      </c>
      <c r="E3" s="133" t="s">
        <v>190</v>
      </c>
      <c r="F3" s="133" t="s">
        <v>28</v>
      </c>
      <c r="G3" s="143">
        <v>20</v>
      </c>
      <c r="H3" s="133" t="s">
        <v>29</v>
      </c>
      <c r="I3" s="133" t="s">
        <v>152</v>
      </c>
      <c r="J3" s="133" t="s">
        <v>55</v>
      </c>
      <c r="K3" s="58">
        <f>(((4.5*(28+192)%)+4.5)+((10.5*(28+45)%)+10.5))*16250</f>
        <v>529181.25</v>
      </c>
      <c r="L3" s="58">
        <f t="shared" ref="L3:L10" si="0">K3*G3*12</f>
        <v>127003500</v>
      </c>
      <c r="M3" s="142">
        <f>L3*N3</f>
        <v>127003500</v>
      </c>
      <c r="N3" s="162">
        <v>1</v>
      </c>
      <c r="O3" s="346">
        <v>1</v>
      </c>
      <c r="P3" s="346" t="s">
        <v>26</v>
      </c>
      <c r="Q3" s="346">
        <v>1010157</v>
      </c>
      <c r="R3" s="348" t="s">
        <v>191</v>
      </c>
      <c r="S3" s="346">
        <v>38</v>
      </c>
      <c r="T3" s="345"/>
      <c r="U3" s="345"/>
      <c r="V3" s="345"/>
      <c r="W3" s="346" t="s">
        <v>190</v>
      </c>
      <c r="X3" s="347"/>
      <c r="Y3" s="347">
        <v>43622</v>
      </c>
      <c r="Z3" s="340">
        <v>201626100</v>
      </c>
    </row>
    <row r="4" spans="1:26" ht="38.25" x14ac:dyDescent="0.25">
      <c r="A4" s="163">
        <v>1</v>
      </c>
      <c r="B4" s="54">
        <f>B3</f>
        <v>5486</v>
      </c>
      <c r="C4" s="55" t="s">
        <v>34</v>
      </c>
      <c r="D4" s="133" t="s">
        <v>43</v>
      </c>
      <c r="E4" s="55" t="s">
        <v>190</v>
      </c>
      <c r="F4" s="55" t="s">
        <v>28</v>
      </c>
      <c r="G4" s="55">
        <v>20</v>
      </c>
      <c r="H4" s="55" t="s">
        <v>36</v>
      </c>
      <c r="I4" s="55" t="s">
        <v>152</v>
      </c>
      <c r="J4" s="55" t="s">
        <v>55</v>
      </c>
      <c r="K4" s="58">
        <f>((9.3*28%)+9.3)*16250</f>
        <v>193440.00000000003</v>
      </c>
      <c r="L4" s="58">
        <f t="shared" si="0"/>
        <v>46425600.000000007</v>
      </c>
      <c r="M4" s="56">
        <f t="shared" ref="M4:M47" si="1">L4*N4</f>
        <v>46425600.000000007</v>
      </c>
      <c r="N4" s="164">
        <v>1</v>
      </c>
      <c r="O4" s="335"/>
      <c r="P4" s="335"/>
      <c r="Q4" s="335"/>
      <c r="R4" s="342"/>
      <c r="S4" s="335"/>
      <c r="T4" s="344"/>
      <c r="U4" s="344"/>
      <c r="V4" s="344"/>
      <c r="W4" s="335"/>
      <c r="X4" s="337"/>
      <c r="Y4" s="339"/>
      <c r="Z4" s="339"/>
    </row>
    <row r="5" spans="1:26" ht="51" x14ac:dyDescent="0.25">
      <c r="A5" s="163">
        <v>1</v>
      </c>
      <c r="B5" s="54">
        <f>B4</f>
        <v>5486</v>
      </c>
      <c r="C5" s="55" t="s">
        <v>34</v>
      </c>
      <c r="D5" s="55" t="s">
        <v>75</v>
      </c>
      <c r="E5" s="55" t="s">
        <v>190</v>
      </c>
      <c r="F5" s="55" t="s">
        <v>28</v>
      </c>
      <c r="G5" s="55">
        <v>20</v>
      </c>
      <c r="H5" s="55" t="s">
        <v>36</v>
      </c>
      <c r="I5" s="55" t="s">
        <v>152</v>
      </c>
      <c r="J5" s="55" t="s">
        <v>55</v>
      </c>
      <c r="K5" s="58">
        <f>((9.3*28%)+9.3)*16250</f>
        <v>193440.00000000003</v>
      </c>
      <c r="L5" s="58">
        <f t="shared" si="0"/>
        <v>46425600.000000007</v>
      </c>
      <c r="M5" s="56">
        <f t="shared" si="1"/>
        <v>46425600.000000007</v>
      </c>
      <c r="N5" s="164">
        <v>1</v>
      </c>
      <c r="O5" s="55">
        <v>1</v>
      </c>
      <c r="P5" s="55" t="s">
        <v>35</v>
      </c>
      <c r="Q5" s="55">
        <v>1010158</v>
      </c>
      <c r="R5" s="59" t="s">
        <v>192</v>
      </c>
      <c r="S5" s="55">
        <v>20</v>
      </c>
      <c r="T5" s="64"/>
      <c r="U5" s="64"/>
      <c r="V5" s="64"/>
      <c r="W5" s="55" t="s">
        <v>190</v>
      </c>
      <c r="X5" s="60"/>
      <c r="Y5" s="60">
        <v>43622</v>
      </c>
      <c r="Z5" s="56">
        <v>46425600</v>
      </c>
    </row>
    <row r="6" spans="1:26" ht="63.75" x14ac:dyDescent="0.25">
      <c r="A6" s="163">
        <v>1</v>
      </c>
      <c r="B6" s="85">
        <f>B3+1</f>
        <v>5487</v>
      </c>
      <c r="C6" s="133" t="s">
        <v>25</v>
      </c>
      <c r="D6" s="55" t="s">
        <v>39</v>
      </c>
      <c r="E6" s="55" t="s">
        <v>190</v>
      </c>
      <c r="F6" s="55" t="s">
        <v>28</v>
      </c>
      <c r="G6" s="55">
        <v>20</v>
      </c>
      <c r="H6" s="55" t="s">
        <v>29</v>
      </c>
      <c r="I6" s="55" t="s">
        <v>152</v>
      </c>
      <c r="J6" s="55" t="s">
        <v>30</v>
      </c>
      <c r="K6" s="58">
        <f>(((4.5*(28+192)%)+4.5)+((10.5*28%)+10.5))*16250</f>
        <v>452400.00000000006</v>
      </c>
      <c r="L6" s="58">
        <f t="shared" si="0"/>
        <v>108576000.00000003</v>
      </c>
      <c r="M6" s="56">
        <f t="shared" si="1"/>
        <v>108576000.00000003</v>
      </c>
      <c r="N6" s="164">
        <v>1</v>
      </c>
      <c r="O6" s="55">
        <v>1</v>
      </c>
      <c r="P6" s="55" t="s">
        <v>26</v>
      </c>
      <c r="Q6" s="55">
        <v>1010122</v>
      </c>
      <c r="R6" s="59" t="s">
        <v>193</v>
      </c>
      <c r="S6" s="55">
        <v>32</v>
      </c>
      <c r="T6" s="64"/>
      <c r="U6" s="64"/>
      <c r="V6" s="64"/>
      <c r="W6" s="55" t="s">
        <v>190</v>
      </c>
      <c r="X6" s="60">
        <v>40725</v>
      </c>
      <c r="Y6" s="60" t="s">
        <v>275</v>
      </c>
      <c r="Z6" s="58">
        <v>169790400</v>
      </c>
    </row>
    <row r="7" spans="1:26" ht="76.5" x14ac:dyDescent="0.25">
      <c r="A7" s="163">
        <v>1</v>
      </c>
      <c r="B7" s="85">
        <v>5487</v>
      </c>
      <c r="C7" s="55" t="s">
        <v>34</v>
      </c>
      <c r="D7" s="55" t="s">
        <v>35</v>
      </c>
      <c r="E7" s="55" t="s">
        <v>190</v>
      </c>
      <c r="F7" s="55" t="s">
        <v>28</v>
      </c>
      <c r="G7" s="55">
        <v>20</v>
      </c>
      <c r="H7" s="55" t="s">
        <v>36</v>
      </c>
      <c r="I7" s="55" t="s">
        <v>152</v>
      </c>
      <c r="J7" s="55" t="s">
        <v>30</v>
      </c>
      <c r="K7" s="58">
        <f>((9.3*28%)+9.3)*16250</f>
        <v>193440.00000000003</v>
      </c>
      <c r="L7" s="58">
        <f t="shared" si="0"/>
        <v>46425600.000000007</v>
      </c>
      <c r="M7" s="56">
        <f t="shared" si="1"/>
        <v>46425600.000000007</v>
      </c>
      <c r="N7" s="164">
        <v>1</v>
      </c>
      <c r="O7" s="132">
        <v>1</v>
      </c>
      <c r="P7" s="132" t="s">
        <v>35</v>
      </c>
      <c r="Q7" s="132">
        <v>1010121</v>
      </c>
      <c r="R7" s="61" t="s">
        <v>194</v>
      </c>
      <c r="S7" s="132">
        <v>16</v>
      </c>
      <c r="T7" s="64"/>
      <c r="U7" s="64"/>
      <c r="V7" s="64"/>
      <c r="W7" s="132" t="s">
        <v>190</v>
      </c>
      <c r="X7" s="134">
        <v>40725</v>
      </c>
      <c r="Y7" s="60" t="s">
        <v>275</v>
      </c>
      <c r="Z7" s="65">
        <v>37140480</v>
      </c>
    </row>
    <row r="8" spans="1:26" ht="38.25" x14ac:dyDescent="0.25">
      <c r="A8" s="163">
        <v>1</v>
      </c>
      <c r="B8" s="85">
        <f>B6+1</f>
        <v>5488</v>
      </c>
      <c r="C8" s="55" t="s">
        <v>25</v>
      </c>
      <c r="D8" s="55" t="s">
        <v>39</v>
      </c>
      <c r="E8" s="55" t="s">
        <v>190</v>
      </c>
      <c r="F8" s="55" t="s">
        <v>28</v>
      </c>
      <c r="G8" s="55">
        <v>29</v>
      </c>
      <c r="H8" s="55" t="s">
        <v>33</v>
      </c>
      <c r="I8" s="55" t="s">
        <v>151</v>
      </c>
      <c r="J8" s="55" t="s">
        <v>55</v>
      </c>
      <c r="K8" s="58">
        <f>(((4.5*(28+178+7)%)+4.5)+((10.5*28%)+10.5))*16250</f>
        <v>447281.25</v>
      </c>
      <c r="L8" s="58">
        <f t="shared" si="0"/>
        <v>155653875</v>
      </c>
      <c r="M8" s="56">
        <f t="shared" si="1"/>
        <v>155653875</v>
      </c>
      <c r="N8" s="164">
        <v>1</v>
      </c>
      <c r="O8" s="334">
        <v>1</v>
      </c>
      <c r="P8" s="334" t="s">
        <v>128</v>
      </c>
      <c r="Q8" s="334">
        <v>1010123</v>
      </c>
      <c r="R8" s="341" t="s">
        <v>195</v>
      </c>
      <c r="S8" s="334">
        <v>27</v>
      </c>
      <c r="T8" s="343"/>
      <c r="U8" s="343"/>
      <c r="V8" s="343"/>
      <c r="W8" s="334" t="s">
        <v>190</v>
      </c>
      <c r="X8" s="336">
        <v>40725</v>
      </c>
      <c r="Y8" s="336" t="s">
        <v>275</v>
      </c>
      <c r="Z8" s="338">
        <v>144919125</v>
      </c>
    </row>
    <row r="9" spans="1:26" ht="38.25" x14ac:dyDescent="0.25">
      <c r="A9" s="163">
        <v>1</v>
      </c>
      <c r="B9" s="85">
        <f>B8</f>
        <v>5488</v>
      </c>
      <c r="C9" s="55" t="s">
        <v>34</v>
      </c>
      <c r="D9" s="55" t="s">
        <v>35</v>
      </c>
      <c r="E9" s="55" t="s">
        <v>190</v>
      </c>
      <c r="F9" s="55" t="s">
        <v>28</v>
      </c>
      <c r="G9" s="55">
        <v>29</v>
      </c>
      <c r="H9" s="55" t="s">
        <v>36</v>
      </c>
      <c r="I9" s="55" t="s">
        <v>151</v>
      </c>
      <c r="J9" s="55" t="s">
        <v>55</v>
      </c>
      <c r="K9" s="58">
        <f>((9.3*28%)+9.3)*16250</f>
        <v>193440.00000000003</v>
      </c>
      <c r="L9" s="58">
        <f t="shared" si="0"/>
        <v>67317120.000000015</v>
      </c>
      <c r="M9" s="56">
        <f t="shared" si="1"/>
        <v>67317120.000000015</v>
      </c>
      <c r="N9" s="164">
        <v>1</v>
      </c>
      <c r="O9" s="335"/>
      <c r="P9" s="335"/>
      <c r="Q9" s="335"/>
      <c r="R9" s="342"/>
      <c r="S9" s="335"/>
      <c r="T9" s="344"/>
      <c r="U9" s="344"/>
      <c r="V9" s="344"/>
      <c r="W9" s="335"/>
      <c r="X9" s="337"/>
      <c r="Y9" s="337"/>
      <c r="Z9" s="339"/>
    </row>
    <row r="10" spans="1:26" ht="51" x14ac:dyDescent="0.25">
      <c r="A10" s="121">
        <v>2</v>
      </c>
      <c r="B10" s="10">
        <f>B8+1</f>
        <v>5489</v>
      </c>
      <c r="C10" s="121" t="s">
        <v>25</v>
      </c>
      <c r="D10" s="121" t="s">
        <v>40</v>
      </c>
      <c r="E10" s="121" t="s">
        <v>62</v>
      </c>
      <c r="F10" s="144" t="s">
        <v>28</v>
      </c>
      <c r="G10" s="144">
        <v>12</v>
      </c>
      <c r="H10" s="144" t="s">
        <v>29</v>
      </c>
      <c r="I10" s="14" t="s">
        <v>150</v>
      </c>
      <c r="J10" s="144" t="s">
        <v>55</v>
      </c>
      <c r="K10" s="26">
        <f>(((4.5*(28+192)%)+4.5)+((10.5*(28+45)%)+10.5))*16250</f>
        <v>529181.25</v>
      </c>
      <c r="L10" s="26">
        <f t="shared" si="0"/>
        <v>76202100</v>
      </c>
      <c r="M10" s="96">
        <f t="shared" si="1"/>
        <v>76202100</v>
      </c>
      <c r="N10" s="10">
        <v>1</v>
      </c>
      <c r="O10" s="121">
        <v>2</v>
      </c>
      <c r="P10" s="121" t="s">
        <v>26</v>
      </c>
      <c r="Q10" s="121">
        <v>1020181</v>
      </c>
      <c r="R10" s="11" t="s">
        <v>63</v>
      </c>
      <c r="S10" s="121">
        <v>17</v>
      </c>
      <c r="T10" s="121">
        <v>0</v>
      </c>
      <c r="U10" s="121">
        <v>17</v>
      </c>
      <c r="V10" s="121" t="s">
        <v>55</v>
      </c>
      <c r="W10" s="121" t="s">
        <v>62</v>
      </c>
      <c r="X10" s="128">
        <v>40725</v>
      </c>
      <c r="Y10" s="128" t="s">
        <v>60</v>
      </c>
      <c r="Z10" s="26">
        <f>((((4.5*(28+192)%)+4.5)+((10.5*(28+0)%)+10.5))*16250)*S10*12</f>
        <v>92289600.000000015</v>
      </c>
    </row>
    <row r="11" spans="1:26" ht="51" x14ac:dyDescent="0.25">
      <c r="A11" s="121">
        <v>2</v>
      </c>
      <c r="B11" s="10">
        <f>B10</f>
        <v>5489</v>
      </c>
      <c r="C11" s="121" t="s">
        <v>34</v>
      </c>
      <c r="D11" s="121" t="s">
        <v>43</v>
      </c>
      <c r="E11" s="121" t="s">
        <v>62</v>
      </c>
      <c r="F11" s="144" t="s">
        <v>28</v>
      </c>
      <c r="G11" s="144">
        <v>12</v>
      </c>
      <c r="H11" s="144" t="s">
        <v>36</v>
      </c>
      <c r="I11" s="14" t="s">
        <v>150</v>
      </c>
      <c r="J11" s="144" t="s">
        <v>55</v>
      </c>
      <c r="K11" s="141">
        <f>((9.3*28%)+9.3)*16250</f>
        <v>193440.00000000003</v>
      </c>
      <c r="L11" s="26">
        <f t="shared" ref="L11:L74" si="2">K11*G11*12</f>
        <v>27855360.000000007</v>
      </c>
      <c r="M11" s="96">
        <f t="shared" si="1"/>
        <v>27855360.000000007</v>
      </c>
      <c r="N11" s="10">
        <v>1</v>
      </c>
      <c r="O11" s="121">
        <v>2</v>
      </c>
      <c r="P11" s="121" t="s">
        <v>35</v>
      </c>
      <c r="Q11" s="121">
        <v>1020182</v>
      </c>
      <c r="R11" s="11" t="s">
        <v>64</v>
      </c>
      <c r="S11" s="121">
        <v>15</v>
      </c>
      <c r="T11" s="121">
        <v>0</v>
      </c>
      <c r="U11" s="121">
        <v>17</v>
      </c>
      <c r="V11" s="121" t="s">
        <v>55</v>
      </c>
      <c r="W11" s="121" t="s">
        <v>62</v>
      </c>
      <c r="X11" s="128">
        <v>40725</v>
      </c>
      <c r="Y11" s="128" t="s">
        <v>60</v>
      </c>
      <c r="Z11" s="141">
        <f>(((9.3*28%)+9.3)*16250)*S11*12</f>
        <v>34819200.000000007</v>
      </c>
    </row>
    <row r="12" spans="1:26" ht="51" x14ac:dyDescent="0.25">
      <c r="A12" s="121">
        <v>2</v>
      </c>
      <c r="B12" s="10">
        <f>B11</f>
        <v>5489</v>
      </c>
      <c r="C12" s="121" t="s">
        <v>34</v>
      </c>
      <c r="D12" s="121" t="s">
        <v>75</v>
      </c>
      <c r="E12" s="121" t="s">
        <v>62</v>
      </c>
      <c r="F12" s="144" t="s">
        <v>28</v>
      </c>
      <c r="G12" s="144">
        <v>12</v>
      </c>
      <c r="H12" s="144" t="s">
        <v>36</v>
      </c>
      <c r="I12" s="14" t="s">
        <v>150</v>
      </c>
      <c r="J12" s="144" t="s">
        <v>55</v>
      </c>
      <c r="K12" s="141">
        <f>((9.3*28%)+9.3)*16250</f>
        <v>193440.00000000003</v>
      </c>
      <c r="L12" s="26">
        <f t="shared" si="2"/>
        <v>27855360.000000007</v>
      </c>
      <c r="M12" s="96">
        <f t="shared" si="1"/>
        <v>27855360.000000007</v>
      </c>
      <c r="N12" s="10">
        <v>1</v>
      </c>
      <c r="O12" s="315" t="s">
        <v>260</v>
      </c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141"/>
    </row>
    <row r="13" spans="1:26" ht="89.25" x14ac:dyDescent="0.25">
      <c r="A13" s="121">
        <v>2</v>
      </c>
      <c r="B13" s="10">
        <f>B10+1</f>
        <v>5490</v>
      </c>
      <c r="C13" s="121" t="s">
        <v>25</v>
      </c>
      <c r="D13" s="121" t="s">
        <v>41</v>
      </c>
      <c r="E13" s="121" t="s">
        <v>65</v>
      </c>
      <c r="F13" s="144" t="s">
        <v>28</v>
      </c>
      <c r="G13" s="144">
        <v>12</v>
      </c>
      <c r="H13" s="144" t="s">
        <v>29</v>
      </c>
      <c r="I13" s="14" t="s">
        <v>150</v>
      </c>
      <c r="J13" s="144" t="s">
        <v>30</v>
      </c>
      <c r="K13" s="26">
        <f>(((4.5*(28+192)%)+4.5)+((10.5*(28+45)%)+10.5))*16250</f>
        <v>529181.25</v>
      </c>
      <c r="L13" s="26">
        <f t="shared" si="2"/>
        <v>76202100</v>
      </c>
      <c r="M13" s="96">
        <f t="shared" si="1"/>
        <v>76202100</v>
      </c>
      <c r="N13" s="10">
        <v>1</v>
      </c>
      <c r="O13" s="121">
        <v>2</v>
      </c>
      <c r="P13" s="121" t="s">
        <v>26</v>
      </c>
      <c r="Q13" s="121">
        <v>1020184</v>
      </c>
      <c r="R13" s="11" t="s">
        <v>67</v>
      </c>
      <c r="S13" s="121">
        <v>20</v>
      </c>
      <c r="T13" s="121">
        <v>6</v>
      </c>
      <c r="U13" s="121">
        <v>17</v>
      </c>
      <c r="V13" s="121" t="s">
        <v>55</v>
      </c>
      <c r="W13" s="121" t="s">
        <v>65</v>
      </c>
      <c r="X13" s="128">
        <v>40725</v>
      </c>
      <c r="Y13" s="128" t="s">
        <v>276</v>
      </c>
      <c r="Z13" s="26">
        <f>((((4.5*(28+192)%)+4.5)+((10.5*(28+45)%)+10.5))*16250)*S13*12</f>
        <v>127003500</v>
      </c>
    </row>
    <row r="14" spans="1:26" ht="76.5" x14ac:dyDescent="0.25">
      <c r="A14" s="121">
        <v>2</v>
      </c>
      <c r="B14" s="10">
        <f>B13</f>
        <v>5490</v>
      </c>
      <c r="C14" s="121" t="s">
        <v>34</v>
      </c>
      <c r="D14" s="121" t="s">
        <v>35</v>
      </c>
      <c r="E14" s="121" t="s">
        <v>65</v>
      </c>
      <c r="F14" s="144" t="s">
        <v>28</v>
      </c>
      <c r="G14" s="144">
        <v>12</v>
      </c>
      <c r="H14" s="144" t="s">
        <v>36</v>
      </c>
      <c r="I14" s="14" t="s">
        <v>150</v>
      </c>
      <c r="J14" s="144" t="s">
        <v>30</v>
      </c>
      <c r="K14" s="141">
        <f>((9.3*28%)+9.3)*16250</f>
        <v>193440.00000000003</v>
      </c>
      <c r="L14" s="26">
        <f t="shared" si="2"/>
        <v>27855360.000000007</v>
      </c>
      <c r="M14" s="96">
        <f t="shared" si="1"/>
        <v>27855360.000000007</v>
      </c>
      <c r="N14" s="10">
        <v>1</v>
      </c>
      <c r="O14" s="121">
        <v>2</v>
      </c>
      <c r="P14" s="121" t="s">
        <v>35</v>
      </c>
      <c r="Q14" s="121">
        <v>1020183</v>
      </c>
      <c r="R14" s="11" t="s">
        <v>66</v>
      </c>
      <c r="S14" s="121">
        <v>20</v>
      </c>
      <c r="T14" s="121">
        <v>6</v>
      </c>
      <c r="U14" s="121">
        <v>17</v>
      </c>
      <c r="V14" s="121" t="s">
        <v>55</v>
      </c>
      <c r="W14" s="121" t="s">
        <v>65</v>
      </c>
      <c r="X14" s="128">
        <v>40725</v>
      </c>
      <c r="Y14" s="128" t="s">
        <v>276</v>
      </c>
      <c r="Z14" s="141">
        <f>(((9.3*28%)+9.3)*16250)*S14*12</f>
        <v>46425600.000000007</v>
      </c>
    </row>
    <row r="15" spans="1:26" ht="51" x14ac:dyDescent="0.25">
      <c r="A15" s="121">
        <v>2</v>
      </c>
      <c r="B15" s="10">
        <v>5491</v>
      </c>
      <c r="C15" s="121" t="s">
        <v>25</v>
      </c>
      <c r="D15" s="121" t="s">
        <v>40</v>
      </c>
      <c r="E15" s="121" t="s">
        <v>65</v>
      </c>
      <c r="F15" s="10" t="s">
        <v>28</v>
      </c>
      <c r="G15" s="10">
        <v>12</v>
      </c>
      <c r="H15" s="144" t="s">
        <v>29</v>
      </c>
      <c r="I15" s="14" t="s">
        <v>150</v>
      </c>
      <c r="J15" s="10" t="s">
        <v>55</v>
      </c>
      <c r="K15" s="26">
        <f>(((4.5*(28+192)%)+4.5)+((10.5*(28+45)%)+10.5))*16250</f>
        <v>529181.25</v>
      </c>
      <c r="L15" s="26">
        <f t="shared" si="2"/>
        <v>76202100</v>
      </c>
      <c r="M15" s="96">
        <f t="shared" si="1"/>
        <v>76202100</v>
      </c>
      <c r="N15" s="10">
        <v>1</v>
      </c>
      <c r="O15" s="321" t="s">
        <v>68</v>
      </c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26">
        <f>((((4.5*(28+192)%)+4.5)+((10.5*(28+45)%)+10.5))*16250)*G15*12</f>
        <v>76202100</v>
      </c>
    </row>
    <row r="16" spans="1:26" ht="51" x14ac:dyDescent="0.25">
      <c r="A16" s="121">
        <v>2</v>
      </c>
      <c r="B16" s="10">
        <f>B15</f>
        <v>5491</v>
      </c>
      <c r="C16" s="121" t="s">
        <v>34</v>
      </c>
      <c r="D16" s="121" t="s">
        <v>43</v>
      </c>
      <c r="E16" s="121" t="s">
        <v>65</v>
      </c>
      <c r="F16" s="10" t="s">
        <v>28</v>
      </c>
      <c r="G16" s="10">
        <v>12</v>
      </c>
      <c r="H16" s="10" t="s">
        <v>36</v>
      </c>
      <c r="I16" s="14" t="s">
        <v>150</v>
      </c>
      <c r="J16" s="144" t="s">
        <v>55</v>
      </c>
      <c r="K16" s="141">
        <f>((9.3*28%)+9.3)*16250</f>
        <v>193440.00000000003</v>
      </c>
      <c r="L16" s="26">
        <f t="shared" si="2"/>
        <v>27855360.000000007</v>
      </c>
      <c r="M16" s="96">
        <f t="shared" si="1"/>
        <v>27855360.000000007</v>
      </c>
      <c r="N16" s="10">
        <v>1</v>
      </c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141">
        <f>(((9.3*28%)+9.3)*16250)*G16*12</f>
        <v>27855360.000000007</v>
      </c>
    </row>
    <row r="17" spans="1:26" ht="51" x14ac:dyDescent="0.25">
      <c r="A17" s="121">
        <v>2</v>
      </c>
      <c r="B17" s="10">
        <f>B16</f>
        <v>5491</v>
      </c>
      <c r="C17" s="121" t="s">
        <v>34</v>
      </c>
      <c r="D17" s="121" t="s">
        <v>45</v>
      </c>
      <c r="E17" s="121" t="s">
        <v>65</v>
      </c>
      <c r="F17" s="10" t="s">
        <v>28</v>
      </c>
      <c r="G17" s="10">
        <v>12</v>
      </c>
      <c r="H17" s="10" t="s">
        <v>36</v>
      </c>
      <c r="I17" s="14" t="s">
        <v>150</v>
      </c>
      <c r="J17" s="144" t="s">
        <v>55</v>
      </c>
      <c r="K17" s="141">
        <f>((9.3*28%)+9.3)*16250</f>
        <v>193440.00000000003</v>
      </c>
      <c r="L17" s="26">
        <f t="shared" si="2"/>
        <v>27855360.000000007</v>
      </c>
      <c r="M17" s="96">
        <f t="shared" si="1"/>
        <v>27855360.000000007</v>
      </c>
      <c r="N17" s="10">
        <v>1</v>
      </c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141">
        <f>(((9.3*28%)+9.3)*16250)*G17*12</f>
        <v>27855360.000000007</v>
      </c>
    </row>
    <row r="18" spans="1:26" ht="51" x14ac:dyDescent="0.25">
      <c r="A18" s="163">
        <v>3</v>
      </c>
      <c r="B18" s="85">
        <v>5492</v>
      </c>
      <c r="C18" s="55" t="s">
        <v>25</v>
      </c>
      <c r="D18" s="55" t="s">
        <v>39</v>
      </c>
      <c r="E18" s="55" t="s">
        <v>38</v>
      </c>
      <c r="F18" s="55" t="s">
        <v>28</v>
      </c>
      <c r="G18" s="55">
        <v>30</v>
      </c>
      <c r="H18" s="55" t="s">
        <v>29</v>
      </c>
      <c r="I18" s="133" t="s">
        <v>152</v>
      </c>
      <c r="J18" s="55" t="s">
        <v>55</v>
      </c>
      <c r="K18" s="57">
        <f>(((4.5*(14+178)%)+4.5)+((10.5*14%)+10.5))*16250</f>
        <v>408037.5</v>
      </c>
      <c r="L18" s="57">
        <f t="shared" si="2"/>
        <v>146893500</v>
      </c>
      <c r="M18" s="56">
        <f t="shared" si="1"/>
        <v>146893500</v>
      </c>
      <c r="N18" s="164">
        <v>1</v>
      </c>
      <c r="O18" s="55">
        <v>3</v>
      </c>
      <c r="P18" s="85" t="s">
        <v>26</v>
      </c>
      <c r="Q18" s="62">
        <v>1030258</v>
      </c>
      <c r="R18" s="59" t="s">
        <v>196</v>
      </c>
      <c r="S18" s="55">
        <v>30</v>
      </c>
      <c r="T18" s="121"/>
      <c r="U18" s="11"/>
      <c r="V18" s="121"/>
      <c r="W18" s="55" t="s">
        <v>38</v>
      </c>
      <c r="X18" s="60">
        <v>42826</v>
      </c>
      <c r="Y18" s="60" t="s">
        <v>277</v>
      </c>
      <c r="Z18" s="57">
        <v>146893500</v>
      </c>
    </row>
    <row r="19" spans="1:26" ht="51" x14ac:dyDescent="0.25">
      <c r="A19" s="163">
        <v>3</v>
      </c>
      <c r="B19" s="85">
        <f>B18</f>
        <v>5492</v>
      </c>
      <c r="C19" s="55" t="s">
        <v>34</v>
      </c>
      <c r="D19" s="55" t="s">
        <v>35</v>
      </c>
      <c r="E19" s="55" t="s">
        <v>38</v>
      </c>
      <c r="F19" s="55" t="s">
        <v>28</v>
      </c>
      <c r="G19" s="55">
        <v>30</v>
      </c>
      <c r="H19" s="55" t="s">
        <v>36</v>
      </c>
      <c r="I19" s="55" t="s">
        <v>152</v>
      </c>
      <c r="J19" s="55" t="s">
        <v>55</v>
      </c>
      <c r="K19" s="57">
        <f>((9.3*14%)+9.3)*16250</f>
        <v>172282.5</v>
      </c>
      <c r="L19" s="57">
        <f t="shared" si="2"/>
        <v>62021700</v>
      </c>
      <c r="M19" s="56">
        <f t="shared" si="1"/>
        <v>62021700</v>
      </c>
      <c r="N19" s="164">
        <v>1</v>
      </c>
      <c r="O19" s="55">
        <v>3</v>
      </c>
      <c r="P19" s="85" t="s">
        <v>35</v>
      </c>
      <c r="Q19" s="62">
        <v>1030259</v>
      </c>
      <c r="R19" s="59" t="s">
        <v>197</v>
      </c>
      <c r="S19" s="55">
        <v>15</v>
      </c>
      <c r="T19" s="121"/>
      <c r="U19" s="11"/>
      <c r="V19" s="121"/>
      <c r="W19" s="55" t="s">
        <v>38</v>
      </c>
      <c r="X19" s="60">
        <v>41730</v>
      </c>
      <c r="Y19" s="60" t="s">
        <v>277</v>
      </c>
      <c r="Z19" s="57">
        <v>31010850.000000007</v>
      </c>
    </row>
    <row r="20" spans="1:26" ht="38.25" x14ac:dyDescent="0.25">
      <c r="A20" s="121">
        <v>3</v>
      </c>
      <c r="B20" s="10">
        <v>5493</v>
      </c>
      <c r="C20" s="131" t="s">
        <v>25</v>
      </c>
      <c r="D20" s="131" t="s">
        <v>26</v>
      </c>
      <c r="E20" s="131" t="s">
        <v>27</v>
      </c>
      <c r="F20" s="144" t="s">
        <v>28</v>
      </c>
      <c r="G20" s="144">
        <v>20</v>
      </c>
      <c r="H20" s="144" t="s">
        <v>29</v>
      </c>
      <c r="I20" s="131" t="s">
        <v>152</v>
      </c>
      <c r="J20" s="144" t="s">
        <v>32</v>
      </c>
      <c r="K20" s="26">
        <f>(((4.5*(14+192)%)+4.5)+((10.5*14%)+10.5))*16250</f>
        <v>418275.00000000006</v>
      </c>
      <c r="L20" s="26">
        <f t="shared" si="2"/>
        <v>100386000.00000001</v>
      </c>
      <c r="M20" s="26">
        <f t="shared" si="1"/>
        <v>100386000.00000001</v>
      </c>
      <c r="N20" s="10">
        <v>1</v>
      </c>
      <c r="O20" s="121">
        <v>3</v>
      </c>
      <c r="P20" s="121" t="s">
        <v>26</v>
      </c>
      <c r="Q20" s="121">
        <v>1030275</v>
      </c>
      <c r="R20" s="11" t="s">
        <v>31</v>
      </c>
      <c r="S20" s="121">
        <v>20</v>
      </c>
      <c r="T20" s="121">
        <v>6</v>
      </c>
      <c r="U20" s="121">
        <v>18</v>
      </c>
      <c r="V20" s="121" t="s">
        <v>32</v>
      </c>
      <c r="W20" s="121" t="s">
        <v>27</v>
      </c>
      <c r="X20" s="128">
        <v>42856</v>
      </c>
      <c r="Y20" s="128" t="s">
        <v>60</v>
      </c>
      <c r="Z20" s="26">
        <f>((((4.5*(14+192)%)+4.5)+((10.5*14%)+10.5))*16250)*S20*12</f>
        <v>100386000.00000001</v>
      </c>
    </row>
    <row r="21" spans="1:26" ht="38.25" x14ac:dyDescent="0.25">
      <c r="A21" s="121">
        <v>3</v>
      </c>
      <c r="B21" s="10">
        <f>B20</f>
        <v>5493</v>
      </c>
      <c r="C21" s="131" t="s">
        <v>34</v>
      </c>
      <c r="D21" s="131" t="s">
        <v>35</v>
      </c>
      <c r="E21" s="131" t="s">
        <v>27</v>
      </c>
      <c r="F21" s="144" t="s">
        <v>28</v>
      </c>
      <c r="G21" s="144">
        <v>20</v>
      </c>
      <c r="H21" s="144" t="s">
        <v>36</v>
      </c>
      <c r="I21" s="131" t="s">
        <v>152</v>
      </c>
      <c r="J21" s="144" t="s">
        <v>32</v>
      </c>
      <c r="K21" s="141">
        <f>((9.3*14%)+9.3)*16250</f>
        <v>172282.5</v>
      </c>
      <c r="L21" s="26">
        <f t="shared" si="2"/>
        <v>41347800</v>
      </c>
      <c r="M21" s="141">
        <f t="shared" si="1"/>
        <v>41347800</v>
      </c>
      <c r="N21" s="10">
        <v>1</v>
      </c>
      <c r="O21" s="121">
        <v>3</v>
      </c>
      <c r="P21" s="121" t="s">
        <v>35</v>
      </c>
      <c r="Q21" s="121">
        <v>1030276</v>
      </c>
      <c r="R21" s="11" t="s">
        <v>37</v>
      </c>
      <c r="S21" s="121">
        <v>20</v>
      </c>
      <c r="T21" s="121">
        <v>6</v>
      </c>
      <c r="U21" s="121">
        <v>18</v>
      </c>
      <c r="V21" s="121" t="s">
        <v>32</v>
      </c>
      <c r="W21" s="121" t="s">
        <v>27</v>
      </c>
      <c r="X21" s="128">
        <v>42856</v>
      </c>
      <c r="Y21" s="128" t="s">
        <v>60</v>
      </c>
      <c r="Z21" s="141">
        <f>(((9.3*14%)+9.3)*16250)*S21*12</f>
        <v>41347800</v>
      </c>
    </row>
    <row r="22" spans="1:26" ht="25.5" x14ac:dyDescent="0.25">
      <c r="A22" s="121">
        <v>3</v>
      </c>
      <c r="B22" s="10">
        <v>5494</v>
      </c>
      <c r="C22" s="131" t="s">
        <v>25</v>
      </c>
      <c r="D22" s="131" t="s">
        <v>40</v>
      </c>
      <c r="E22" s="131" t="s">
        <v>38</v>
      </c>
      <c r="F22" s="144" t="s">
        <v>28</v>
      </c>
      <c r="G22" s="144">
        <v>20</v>
      </c>
      <c r="H22" s="144" t="s">
        <v>29</v>
      </c>
      <c r="I22" s="166"/>
      <c r="J22" s="144" t="s">
        <v>32</v>
      </c>
      <c r="K22" s="26">
        <f>(((4.5*(14+192)%)+4.5)+((10.5*(14+45)%)+10.5))*16250</f>
        <v>495056.25</v>
      </c>
      <c r="L22" s="26">
        <f t="shared" si="2"/>
        <v>118813500</v>
      </c>
      <c r="M22" s="26">
        <f t="shared" si="1"/>
        <v>118813500</v>
      </c>
      <c r="N22" s="10">
        <v>1</v>
      </c>
      <c r="O22" s="121">
        <v>3</v>
      </c>
      <c r="P22" s="131" t="s">
        <v>41</v>
      </c>
      <c r="Q22" s="131">
        <v>1030200</v>
      </c>
      <c r="R22" s="2" t="s">
        <v>42</v>
      </c>
      <c r="S22" s="131">
        <v>20</v>
      </c>
      <c r="T22" s="121"/>
      <c r="U22" s="121"/>
      <c r="V22" s="121" t="s">
        <v>30</v>
      </c>
      <c r="W22" s="131" t="s">
        <v>38</v>
      </c>
      <c r="X22" s="153">
        <v>41775</v>
      </c>
      <c r="Y22" s="153" t="s">
        <v>276</v>
      </c>
      <c r="Z22" s="26">
        <f>((((4.5*(14+192+0)%)+4.5)+((10.5*(14+45)%)+10.5))*16250)*S22*12</f>
        <v>118813500</v>
      </c>
    </row>
    <row r="23" spans="1:26" ht="25.5" x14ac:dyDescent="0.25">
      <c r="A23" s="121">
        <v>3</v>
      </c>
      <c r="B23" s="10">
        <f>B22</f>
        <v>5494</v>
      </c>
      <c r="C23" s="131" t="s">
        <v>34</v>
      </c>
      <c r="D23" s="131" t="s">
        <v>43</v>
      </c>
      <c r="E23" s="131" t="s">
        <v>38</v>
      </c>
      <c r="F23" s="144" t="s">
        <v>28</v>
      </c>
      <c r="G23" s="144">
        <v>20</v>
      </c>
      <c r="H23" s="144" t="s">
        <v>36</v>
      </c>
      <c r="I23" s="166"/>
      <c r="J23" s="144" t="s">
        <v>32</v>
      </c>
      <c r="K23" s="141">
        <f>((9.3*14%)+9.3)*16250</f>
        <v>172282.5</v>
      </c>
      <c r="L23" s="26">
        <f t="shared" si="2"/>
        <v>41347800</v>
      </c>
      <c r="M23" s="141">
        <f t="shared" si="1"/>
        <v>41347800</v>
      </c>
      <c r="N23" s="10">
        <v>1</v>
      </c>
      <c r="O23" s="121">
        <v>3</v>
      </c>
      <c r="P23" s="131" t="s">
        <v>35</v>
      </c>
      <c r="Q23" s="131">
        <v>1030201</v>
      </c>
      <c r="R23" s="2" t="s">
        <v>44</v>
      </c>
      <c r="S23" s="131">
        <v>20</v>
      </c>
      <c r="T23" s="121"/>
      <c r="U23" s="121"/>
      <c r="V23" s="121" t="s">
        <v>30</v>
      </c>
      <c r="W23" s="131" t="s">
        <v>38</v>
      </c>
      <c r="X23" s="153">
        <v>41775</v>
      </c>
      <c r="Y23" s="153" t="s">
        <v>276</v>
      </c>
      <c r="Z23" s="141">
        <f>(((9.3*14%)+9.3)*16250)*S23*12</f>
        <v>41347800</v>
      </c>
    </row>
    <row r="24" spans="1:26" ht="18.75" x14ac:dyDescent="0.25">
      <c r="A24" s="121">
        <v>3</v>
      </c>
      <c r="B24" s="10">
        <f>B23</f>
        <v>5494</v>
      </c>
      <c r="C24" s="131" t="s">
        <v>34</v>
      </c>
      <c r="D24" s="131" t="s">
        <v>45</v>
      </c>
      <c r="E24" s="131" t="s">
        <v>38</v>
      </c>
      <c r="F24" s="144" t="s">
        <v>28</v>
      </c>
      <c r="G24" s="144">
        <v>20</v>
      </c>
      <c r="H24" s="144" t="s">
        <v>36</v>
      </c>
      <c r="I24" s="144"/>
      <c r="J24" s="144" t="s">
        <v>32</v>
      </c>
      <c r="K24" s="141">
        <f>((9.3*14%)+9.3)*16250</f>
        <v>172282.5</v>
      </c>
      <c r="L24" s="26">
        <f t="shared" si="2"/>
        <v>41347800</v>
      </c>
      <c r="M24" s="141">
        <f t="shared" si="1"/>
        <v>41347800</v>
      </c>
      <c r="N24" s="10">
        <v>1</v>
      </c>
      <c r="O24" s="329" t="s">
        <v>209</v>
      </c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141">
        <f>Z23</f>
        <v>41347800</v>
      </c>
    </row>
    <row r="25" spans="1:26" ht="38.25" x14ac:dyDescent="0.25">
      <c r="A25" s="121">
        <v>3</v>
      </c>
      <c r="B25" s="10">
        <f>B22+1</f>
        <v>5495</v>
      </c>
      <c r="C25" s="131" t="s">
        <v>25</v>
      </c>
      <c r="D25" s="131" t="s">
        <v>46</v>
      </c>
      <c r="E25" s="131" t="s">
        <v>38</v>
      </c>
      <c r="F25" s="144" t="s">
        <v>28</v>
      </c>
      <c r="G25" s="144">
        <v>30</v>
      </c>
      <c r="H25" s="144" t="s">
        <v>29</v>
      </c>
      <c r="I25" s="131" t="s">
        <v>148</v>
      </c>
      <c r="J25" s="144" t="s">
        <v>32</v>
      </c>
      <c r="K25" s="26">
        <f>(((4.5*(14+178+0)%)+4.5)+((10.5*(14+90)%)+10.5))*16250</f>
        <v>561600</v>
      </c>
      <c r="L25" s="26">
        <f t="shared" si="2"/>
        <v>202176000</v>
      </c>
      <c r="M25" s="26">
        <f t="shared" si="1"/>
        <v>202176000</v>
      </c>
      <c r="N25" s="10">
        <v>1</v>
      </c>
      <c r="O25" s="121">
        <v>3</v>
      </c>
      <c r="P25" s="121" t="s">
        <v>46</v>
      </c>
      <c r="Q25" s="121">
        <v>1030277</v>
      </c>
      <c r="R25" s="11" t="s">
        <v>47</v>
      </c>
      <c r="S25" s="121">
        <v>30</v>
      </c>
      <c r="T25" s="121">
        <v>0</v>
      </c>
      <c r="U25" s="121">
        <v>6</v>
      </c>
      <c r="V25" s="121" t="s">
        <v>32</v>
      </c>
      <c r="W25" s="121" t="s">
        <v>38</v>
      </c>
      <c r="X25" s="128">
        <v>42962</v>
      </c>
      <c r="Y25" s="128">
        <v>43694</v>
      </c>
      <c r="Z25" s="26">
        <f>((((4.5*(14+178+0)%)+4.5)+((10.5*(14+90)%)+10.5))*16250)*S25*12</f>
        <v>202176000</v>
      </c>
    </row>
    <row r="26" spans="1:26" ht="38.25" x14ac:dyDescent="0.25">
      <c r="A26" s="121">
        <v>3</v>
      </c>
      <c r="B26" s="10">
        <f>B25</f>
        <v>5495</v>
      </c>
      <c r="C26" s="131" t="s">
        <v>34</v>
      </c>
      <c r="D26" s="131" t="s">
        <v>35</v>
      </c>
      <c r="E26" s="131" t="s">
        <v>38</v>
      </c>
      <c r="F26" s="144" t="s">
        <v>28</v>
      </c>
      <c r="G26" s="144">
        <v>30</v>
      </c>
      <c r="H26" s="144" t="s">
        <v>36</v>
      </c>
      <c r="I26" s="131" t="s">
        <v>148</v>
      </c>
      <c r="J26" s="144" t="s">
        <v>32</v>
      </c>
      <c r="K26" s="141">
        <f>((9.3*14%)+9.3)*16250</f>
        <v>172282.5</v>
      </c>
      <c r="L26" s="26">
        <f t="shared" si="2"/>
        <v>62021700</v>
      </c>
      <c r="M26" s="141">
        <f t="shared" si="1"/>
        <v>62021700</v>
      </c>
      <c r="N26" s="10">
        <v>1</v>
      </c>
      <c r="O26" s="121">
        <v>3</v>
      </c>
      <c r="P26" s="121" t="s">
        <v>35</v>
      </c>
      <c r="Q26" s="121">
        <v>1030278</v>
      </c>
      <c r="R26" s="11" t="s">
        <v>48</v>
      </c>
      <c r="S26" s="121">
        <v>30</v>
      </c>
      <c r="T26" s="121">
        <v>0</v>
      </c>
      <c r="U26" s="121">
        <v>6</v>
      </c>
      <c r="V26" s="121" t="s">
        <v>32</v>
      </c>
      <c r="W26" s="121" t="s">
        <v>38</v>
      </c>
      <c r="X26" s="128">
        <v>42962</v>
      </c>
      <c r="Y26" s="128">
        <v>43694</v>
      </c>
      <c r="Z26" s="141">
        <f>(((9.3*14%)+9.3)*16250)*S26*12</f>
        <v>62021700</v>
      </c>
    </row>
    <row r="27" spans="1:26" ht="38.25" customHeight="1" x14ac:dyDescent="0.25">
      <c r="A27" s="167">
        <v>4</v>
      </c>
      <c r="B27" s="10">
        <f>B25+1</f>
        <v>5496</v>
      </c>
      <c r="C27" s="140" t="s">
        <v>25</v>
      </c>
      <c r="D27" s="123" t="s">
        <v>46</v>
      </c>
      <c r="E27" s="140" t="s">
        <v>171</v>
      </c>
      <c r="F27" s="144" t="s">
        <v>28</v>
      </c>
      <c r="G27" s="144">
        <v>25</v>
      </c>
      <c r="H27" s="144" t="s">
        <v>29</v>
      </c>
      <c r="I27" s="131" t="s">
        <v>149</v>
      </c>
      <c r="J27" s="144" t="s">
        <v>32</v>
      </c>
      <c r="K27" s="26">
        <f>(((4.5*(14+178+0)%)+4.5)+((10.5*(14+90)%)+10.5))*16250</f>
        <v>561600</v>
      </c>
      <c r="L27" s="26">
        <f t="shared" si="2"/>
        <v>168480000</v>
      </c>
      <c r="M27" s="26">
        <f t="shared" si="1"/>
        <v>168480000</v>
      </c>
      <c r="N27" s="144">
        <v>1</v>
      </c>
      <c r="O27" s="331">
        <v>4</v>
      </c>
      <c r="P27" s="314" t="s">
        <v>181</v>
      </c>
      <c r="Q27" s="314">
        <v>1040069</v>
      </c>
      <c r="R27" s="333" t="s">
        <v>172</v>
      </c>
      <c r="S27" s="314">
        <v>30</v>
      </c>
      <c r="T27" s="314">
        <v>0</v>
      </c>
      <c r="U27" s="314">
        <v>2</v>
      </c>
      <c r="V27" s="328" t="s">
        <v>32</v>
      </c>
      <c r="W27" s="271" t="s">
        <v>171</v>
      </c>
      <c r="X27" s="291">
        <v>38701</v>
      </c>
      <c r="Y27" s="291" t="s">
        <v>60</v>
      </c>
      <c r="Z27" s="242">
        <v>226746000.00000006</v>
      </c>
    </row>
    <row r="28" spans="1:26" ht="38.25" x14ac:dyDescent="0.25">
      <c r="A28" s="167">
        <v>4</v>
      </c>
      <c r="B28" s="10">
        <f>B27</f>
        <v>5496</v>
      </c>
      <c r="C28" s="140" t="s">
        <v>34</v>
      </c>
      <c r="D28" s="131" t="s">
        <v>35</v>
      </c>
      <c r="E28" s="140" t="s">
        <v>171</v>
      </c>
      <c r="F28" s="144" t="s">
        <v>28</v>
      </c>
      <c r="G28" s="144">
        <v>25</v>
      </c>
      <c r="H28" s="144" t="s">
        <v>36</v>
      </c>
      <c r="I28" s="131" t="s">
        <v>149</v>
      </c>
      <c r="J28" s="144" t="s">
        <v>32</v>
      </c>
      <c r="K28" s="141">
        <f>((9.3*14%)+9.3)*16250</f>
        <v>172282.5</v>
      </c>
      <c r="L28" s="26">
        <f t="shared" si="2"/>
        <v>51684750</v>
      </c>
      <c r="M28" s="141">
        <f t="shared" si="1"/>
        <v>51684750</v>
      </c>
      <c r="N28" s="144">
        <v>1</v>
      </c>
      <c r="O28" s="332"/>
      <c r="P28" s="312"/>
      <c r="Q28" s="312"/>
      <c r="R28" s="313"/>
      <c r="S28" s="312"/>
      <c r="T28" s="312"/>
      <c r="U28" s="312"/>
      <c r="V28" s="312"/>
      <c r="W28" s="312"/>
      <c r="X28" s="311"/>
      <c r="Y28" s="311"/>
      <c r="Z28" s="242"/>
    </row>
    <row r="29" spans="1:26" ht="51" x14ac:dyDescent="0.25">
      <c r="A29" s="168">
        <v>4</v>
      </c>
      <c r="B29" s="10">
        <v>5497</v>
      </c>
      <c r="C29" s="1" t="s">
        <v>25</v>
      </c>
      <c r="D29" s="1" t="s">
        <v>41</v>
      </c>
      <c r="E29" s="1" t="s">
        <v>173</v>
      </c>
      <c r="F29" s="144" t="s">
        <v>28</v>
      </c>
      <c r="G29" s="144">
        <v>12</v>
      </c>
      <c r="H29" s="144" t="s">
        <v>29</v>
      </c>
      <c r="I29" s="14" t="s">
        <v>150</v>
      </c>
      <c r="J29" s="144" t="s">
        <v>55</v>
      </c>
      <c r="K29" s="26">
        <f>(((4.5*(14+192)%)+4.5)+((10.5*(14+45)%)+10.5))*16250</f>
        <v>495056.25</v>
      </c>
      <c r="L29" s="26">
        <f t="shared" si="2"/>
        <v>71288100</v>
      </c>
      <c r="M29" s="26">
        <f t="shared" si="1"/>
        <v>71288100</v>
      </c>
      <c r="N29" s="10">
        <v>1</v>
      </c>
      <c r="O29" s="6">
        <v>4</v>
      </c>
      <c r="P29" s="7" t="s">
        <v>41</v>
      </c>
      <c r="Q29" s="7">
        <v>1040181</v>
      </c>
      <c r="R29" s="8" t="s">
        <v>174</v>
      </c>
      <c r="S29" s="7">
        <v>15</v>
      </c>
      <c r="T29" s="7">
        <v>12</v>
      </c>
      <c r="U29" s="7">
        <v>18</v>
      </c>
      <c r="V29" s="7" t="s">
        <v>55</v>
      </c>
      <c r="W29" s="140" t="s">
        <v>173</v>
      </c>
      <c r="X29" s="129">
        <v>41100</v>
      </c>
      <c r="Y29" s="129" t="s">
        <v>60</v>
      </c>
      <c r="Z29" s="13">
        <v>89110125</v>
      </c>
    </row>
    <row r="30" spans="1:26" ht="51" x14ac:dyDescent="0.25">
      <c r="A30" s="168">
        <v>4</v>
      </c>
      <c r="B30" s="10">
        <f>B29</f>
        <v>5497</v>
      </c>
      <c r="C30" s="1" t="s">
        <v>34</v>
      </c>
      <c r="D30" s="1" t="s">
        <v>35</v>
      </c>
      <c r="E30" s="1" t="s">
        <v>173</v>
      </c>
      <c r="F30" s="144" t="s">
        <v>28</v>
      </c>
      <c r="G30" s="144">
        <v>12</v>
      </c>
      <c r="H30" s="144" t="s">
        <v>36</v>
      </c>
      <c r="I30" s="14" t="s">
        <v>150</v>
      </c>
      <c r="J30" s="144" t="s">
        <v>55</v>
      </c>
      <c r="K30" s="141">
        <f>((9.3*14%)+9.3)*16250</f>
        <v>172282.5</v>
      </c>
      <c r="L30" s="26">
        <f t="shared" si="2"/>
        <v>24808680</v>
      </c>
      <c r="M30" s="141">
        <f t="shared" si="1"/>
        <v>24808680</v>
      </c>
      <c r="N30" s="10">
        <v>1</v>
      </c>
      <c r="O30" s="6">
        <v>4</v>
      </c>
      <c r="P30" s="7" t="s">
        <v>35</v>
      </c>
      <c r="Q30" s="7">
        <v>1040182</v>
      </c>
      <c r="R30" s="8" t="s">
        <v>175</v>
      </c>
      <c r="S30" s="7">
        <v>15</v>
      </c>
      <c r="T30" s="7">
        <v>12</v>
      </c>
      <c r="U30" s="7">
        <v>18</v>
      </c>
      <c r="V30" s="7" t="s">
        <v>55</v>
      </c>
      <c r="W30" s="7" t="s">
        <v>173</v>
      </c>
      <c r="X30" s="9">
        <v>41100</v>
      </c>
      <c r="Y30" s="9" t="s">
        <v>60</v>
      </c>
      <c r="Z30" s="141">
        <v>31010850</v>
      </c>
    </row>
    <row r="31" spans="1:26" ht="51" customHeight="1" x14ac:dyDescent="0.25">
      <c r="A31" s="168">
        <v>4</v>
      </c>
      <c r="B31" s="10">
        <f>B29+1</f>
        <v>5498</v>
      </c>
      <c r="C31" s="7" t="s">
        <v>25</v>
      </c>
      <c r="D31" s="131" t="s">
        <v>41</v>
      </c>
      <c r="E31" s="7" t="s">
        <v>173</v>
      </c>
      <c r="F31" s="144" t="s">
        <v>28</v>
      </c>
      <c r="G31" s="144">
        <v>12</v>
      </c>
      <c r="H31" s="144" t="s">
        <v>29</v>
      </c>
      <c r="I31" s="14" t="s">
        <v>150</v>
      </c>
      <c r="J31" s="144" t="s">
        <v>30</v>
      </c>
      <c r="K31" s="26">
        <f>(((4.5*(14+192)%)+4.5)+((10.5*(14+45)%)+10.5))*16250</f>
        <v>495056.25</v>
      </c>
      <c r="L31" s="26">
        <f t="shared" si="2"/>
        <v>71288100</v>
      </c>
      <c r="M31" s="13">
        <f t="shared" si="1"/>
        <v>71288100</v>
      </c>
      <c r="N31" s="10">
        <v>1</v>
      </c>
      <c r="O31" s="248">
        <v>4</v>
      </c>
      <c r="P31" s="326" t="s">
        <v>128</v>
      </c>
      <c r="Q31" s="326">
        <v>1040183</v>
      </c>
      <c r="R31" s="327" t="s">
        <v>176</v>
      </c>
      <c r="S31" s="326">
        <v>20</v>
      </c>
      <c r="T31" s="326">
        <v>6</v>
      </c>
      <c r="U31" s="326">
        <v>18</v>
      </c>
      <c r="V31" s="326" t="s">
        <v>30</v>
      </c>
      <c r="W31" s="326" t="s">
        <v>173</v>
      </c>
      <c r="X31" s="323">
        <v>41107</v>
      </c>
      <c r="Y31" s="325" t="s">
        <v>60</v>
      </c>
      <c r="Z31" s="242">
        <v>100386000</v>
      </c>
    </row>
    <row r="32" spans="1:26" ht="51" x14ac:dyDescent="0.25">
      <c r="A32" s="169">
        <v>4</v>
      </c>
      <c r="B32" s="155">
        <f>B31</f>
        <v>5498</v>
      </c>
      <c r="C32" s="138" t="s">
        <v>34</v>
      </c>
      <c r="D32" s="122" t="s">
        <v>35</v>
      </c>
      <c r="E32" s="138" t="s">
        <v>173</v>
      </c>
      <c r="F32" s="135" t="s">
        <v>28</v>
      </c>
      <c r="G32" s="135">
        <v>12</v>
      </c>
      <c r="H32" s="135" t="s">
        <v>36</v>
      </c>
      <c r="I32" s="14" t="s">
        <v>150</v>
      </c>
      <c r="J32" s="135" t="s">
        <v>30</v>
      </c>
      <c r="K32" s="157">
        <f>((9.3*14%)+9.3)*16250</f>
        <v>172282.5</v>
      </c>
      <c r="L32" s="21">
        <f t="shared" si="2"/>
        <v>24808680</v>
      </c>
      <c r="M32" s="157">
        <f t="shared" si="1"/>
        <v>24808680</v>
      </c>
      <c r="N32" s="155">
        <v>1</v>
      </c>
      <c r="O32" s="249"/>
      <c r="P32" s="250"/>
      <c r="Q32" s="250"/>
      <c r="R32" s="251"/>
      <c r="S32" s="250"/>
      <c r="T32" s="250"/>
      <c r="U32" s="250"/>
      <c r="V32" s="250"/>
      <c r="W32" s="250"/>
      <c r="X32" s="324"/>
      <c r="Y32" s="325"/>
      <c r="Z32" s="242"/>
    </row>
    <row r="33" spans="1:26" ht="38.25" x14ac:dyDescent="0.25">
      <c r="A33" s="121">
        <v>4</v>
      </c>
      <c r="B33" s="10">
        <f>B31+1</f>
        <v>5499</v>
      </c>
      <c r="C33" s="121" t="s">
        <v>25</v>
      </c>
      <c r="D33" s="121" t="s">
        <v>26</v>
      </c>
      <c r="E33" s="121" t="s">
        <v>177</v>
      </c>
      <c r="F33" s="144" t="s">
        <v>28</v>
      </c>
      <c r="G33" s="144">
        <v>20</v>
      </c>
      <c r="H33" s="144" t="s">
        <v>29</v>
      </c>
      <c r="I33" s="146" t="s">
        <v>151</v>
      </c>
      <c r="J33" s="144" t="s">
        <v>32</v>
      </c>
      <c r="K33" s="26">
        <f>(((4.5*(14+192+0)%)+4.5)+((10.5*14%)+10.5))*16250</f>
        <v>418275.00000000006</v>
      </c>
      <c r="L33" s="26">
        <f t="shared" si="2"/>
        <v>100386000.00000001</v>
      </c>
      <c r="M33" s="26">
        <f t="shared" si="1"/>
        <v>100386000.00000001</v>
      </c>
      <c r="N33" s="10">
        <v>1</v>
      </c>
      <c r="O33" s="121">
        <v>4</v>
      </c>
      <c r="P33" s="121" t="s">
        <v>26</v>
      </c>
      <c r="Q33" s="121">
        <v>1040266</v>
      </c>
      <c r="R33" s="11" t="s">
        <v>63</v>
      </c>
      <c r="S33" s="121">
        <v>30</v>
      </c>
      <c r="T33" s="121">
        <v>6</v>
      </c>
      <c r="U33" s="121">
        <v>17</v>
      </c>
      <c r="V33" s="121" t="s">
        <v>32</v>
      </c>
      <c r="W33" s="121" t="s">
        <v>177</v>
      </c>
      <c r="X33" s="128">
        <v>42408</v>
      </c>
      <c r="Y33" s="170" t="s">
        <v>60</v>
      </c>
      <c r="Z33" s="13">
        <v>146893500.00000003</v>
      </c>
    </row>
    <row r="34" spans="1:26" ht="38.25" x14ac:dyDescent="0.25">
      <c r="A34" s="121">
        <v>4</v>
      </c>
      <c r="B34" s="10">
        <f>B33</f>
        <v>5499</v>
      </c>
      <c r="C34" s="121" t="s">
        <v>34</v>
      </c>
      <c r="D34" s="121" t="s">
        <v>35</v>
      </c>
      <c r="E34" s="121" t="s">
        <v>177</v>
      </c>
      <c r="F34" s="144" t="s">
        <v>28</v>
      </c>
      <c r="G34" s="144">
        <v>20</v>
      </c>
      <c r="H34" s="144" t="s">
        <v>36</v>
      </c>
      <c r="I34" s="146" t="s">
        <v>151</v>
      </c>
      <c r="J34" s="144" t="s">
        <v>32</v>
      </c>
      <c r="K34" s="141">
        <f>((9.3*14%)+9.3)*16250</f>
        <v>172282.5</v>
      </c>
      <c r="L34" s="26">
        <f t="shared" si="2"/>
        <v>41347800</v>
      </c>
      <c r="M34" s="141">
        <f t="shared" si="1"/>
        <v>41347800</v>
      </c>
      <c r="N34" s="10">
        <v>1</v>
      </c>
      <c r="O34" s="121">
        <v>4</v>
      </c>
      <c r="P34" s="121" t="s">
        <v>35</v>
      </c>
      <c r="Q34" s="121">
        <v>1040267</v>
      </c>
      <c r="R34" s="11" t="s">
        <v>64</v>
      </c>
      <c r="S34" s="121">
        <v>20</v>
      </c>
      <c r="T34" s="121">
        <v>6</v>
      </c>
      <c r="U34" s="121">
        <v>17</v>
      </c>
      <c r="V34" s="121" t="s">
        <v>32</v>
      </c>
      <c r="W34" s="121" t="s">
        <v>177</v>
      </c>
      <c r="X34" s="128">
        <v>42408</v>
      </c>
      <c r="Y34" s="170" t="s">
        <v>60</v>
      </c>
      <c r="Z34" s="141">
        <f>(((9.3*14%)+9.3)*16250)*S34*12</f>
        <v>41347800</v>
      </c>
    </row>
    <row r="35" spans="1:26" ht="51" x14ac:dyDescent="0.25">
      <c r="A35" s="121">
        <v>4</v>
      </c>
      <c r="B35" s="10">
        <f>B33+1</f>
        <v>5500</v>
      </c>
      <c r="C35" s="121" t="s">
        <v>25</v>
      </c>
      <c r="D35" s="121" t="s">
        <v>26</v>
      </c>
      <c r="E35" s="121" t="s">
        <v>178</v>
      </c>
      <c r="F35" s="144" t="s">
        <v>28</v>
      </c>
      <c r="G35" s="144">
        <v>15</v>
      </c>
      <c r="H35" s="144" t="s">
        <v>29</v>
      </c>
      <c r="I35" s="14" t="s">
        <v>150</v>
      </c>
      <c r="J35" s="144" t="s">
        <v>55</v>
      </c>
      <c r="K35" s="26">
        <f>(((4.5*(14+192+0)%)+4.5)+((10.5*14%)+10.5))*16250</f>
        <v>418275.00000000006</v>
      </c>
      <c r="L35" s="26">
        <f t="shared" si="2"/>
        <v>75289500.000000015</v>
      </c>
      <c r="M35" s="26">
        <f t="shared" si="1"/>
        <v>75289500.000000015</v>
      </c>
      <c r="N35" s="10">
        <v>1</v>
      </c>
      <c r="O35" s="315" t="s">
        <v>208</v>
      </c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13"/>
    </row>
    <row r="36" spans="1:26" ht="51" x14ac:dyDescent="0.25">
      <c r="A36" s="121">
        <v>4</v>
      </c>
      <c r="B36" s="10">
        <f>B35</f>
        <v>5500</v>
      </c>
      <c r="C36" s="121" t="s">
        <v>34</v>
      </c>
      <c r="D36" s="121" t="s">
        <v>35</v>
      </c>
      <c r="E36" s="121" t="s">
        <v>178</v>
      </c>
      <c r="F36" s="144" t="s">
        <v>28</v>
      </c>
      <c r="G36" s="144">
        <v>15</v>
      </c>
      <c r="H36" s="144" t="s">
        <v>36</v>
      </c>
      <c r="I36" s="14" t="s">
        <v>150</v>
      </c>
      <c r="J36" s="144" t="s">
        <v>55</v>
      </c>
      <c r="K36" s="141">
        <f>((9.3*14%)+9.3)*16250</f>
        <v>172282.5</v>
      </c>
      <c r="L36" s="26">
        <f t="shared" si="2"/>
        <v>31010850</v>
      </c>
      <c r="M36" s="141">
        <f t="shared" si="1"/>
        <v>31010850</v>
      </c>
      <c r="N36" s="10">
        <v>1</v>
      </c>
      <c r="O36" s="315" t="s">
        <v>210</v>
      </c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141">
        <f>K36*10*12</f>
        <v>20673900</v>
      </c>
    </row>
    <row r="37" spans="1:26" ht="114.75" x14ac:dyDescent="0.25">
      <c r="A37" s="121">
        <v>4</v>
      </c>
      <c r="B37" s="10">
        <f>B35+1</f>
        <v>5501</v>
      </c>
      <c r="C37" s="121" t="s">
        <v>25</v>
      </c>
      <c r="D37" s="121" t="s">
        <v>26</v>
      </c>
      <c r="E37" s="131" t="s">
        <v>179</v>
      </c>
      <c r="F37" s="144" t="s">
        <v>28</v>
      </c>
      <c r="G37" s="144">
        <v>12</v>
      </c>
      <c r="H37" s="144" t="s">
        <v>29</v>
      </c>
      <c r="I37" s="14" t="s">
        <v>150</v>
      </c>
      <c r="J37" s="144" t="s">
        <v>55</v>
      </c>
      <c r="K37" s="26">
        <f>(((4.5*(28+192)%)+4.5)+((10.5*28%)+10.5))*16250</f>
        <v>452400.00000000006</v>
      </c>
      <c r="L37" s="26">
        <f t="shared" si="2"/>
        <v>65145600.000000015</v>
      </c>
      <c r="M37" s="13">
        <f t="shared" si="1"/>
        <v>65145600.000000015</v>
      </c>
      <c r="N37" s="10">
        <v>1</v>
      </c>
      <c r="O37" s="121">
        <v>4</v>
      </c>
      <c r="P37" s="121" t="s">
        <v>26</v>
      </c>
      <c r="Q37" s="144">
        <v>1040317</v>
      </c>
      <c r="R37" s="2" t="s">
        <v>182</v>
      </c>
      <c r="S37" s="121">
        <v>35</v>
      </c>
      <c r="T37" s="121">
        <v>0</v>
      </c>
      <c r="U37" s="121">
        <v>17</v>
      </c>
      <c r="V37" s="121" t="s">
        <v>32</v>
      </c>
      <c r="W37" s="121" t="s">
        <v>179</v>
      </c>
      <c r="X37" s="128">
        <v>43007</v>
      </c>
      <c r="Y37" s="128" t="s">
        <v>60</v>
      </c>
      <c r="Z37" s="13">
        <v>185708250</v>
      </c>
    </row>
    <row r="38" spans="1:26" ht="114.75" x14ac:dyDescent="0.25">
      <c r="A38" s="121">
        <v>4</v>
      </c>
      <c r="B38" s="10">
        <f>B37</f>
        <v>5501</v>
      </c>
      <c r="C38" s="121" t="s">
        <v>34</v>
      </c>
      <c r="D38" s="121" t="s">
        <v>35</v>
      </c>
      <c r="E38" s="131" t="s">
        <v>179</v>
      </c>
      <c r="F38" s="144" t="s">
        <v>28</v>
      </c>
      <c r="G38" s="144">
        <v>12</v>
      </c>
      <c r="H38" s="144" t="s">
        <v>36</v>
      </c>
      <c r="I38" s="14" t="s">
        <v>150</v>
      </c>
      <c r="J38" s="144" t="s">
        <v>55</v>
      </c>
      <c r="K38" s="141">
        <f>((9.3*28%)+9.3)*16250</f>
        <v>193440.00000000003</v>
      </c>
      <c r="L38" s="26">
        <f t="shared" si="2"/>
        <v>27855360.000000007</v>
      </c>
      <c r="M38" s="141">
        <f t="shared" si="1"/>
        <v>27855360.000000007</v>
      </c>
      <c r="N38" s="10">
        <v>1</v>
      </c>
      <c r="O38" s="121">
        <v>4</v>
      </c>
      <c r="P38" s="121" t="s">
        <v>35</v>
      </c>
      <c r="Q38" s="121">
        <v>1040318</v>
      </c>
      <c r="R38" s="11" t="s">
        <v>180</v>
      </c>
      <c r="S38" s="121">
        <v>33</v>
      </c>
      <c r="T38" s="121">
        <v>0</v>
      </c>
      <c r="U38" s="121">
        <v>17</v>
      </c>
      <c r="V38" s="121" t="s">
        <v>32</v>
      </c>
      <c r="W38" s="121" t="s">
        <v>179</v>
      </c>
      <c r="X38" s="128">
        <v>43007</v>
      </c>
      <c r="Y38" s="128" t="s">
        <v>60</v>
      </c>
      <c r="Z38" s="141">
        <v>76602240.000000015</v>
      </c>
    </row>
    <row r="39" spans="1:26" ht="51" x14ac:dyDescent="0.25">
      <c r="A39" s="121">
        <v>4</v>
      </c>
      <c r="B39" s="10">
        <f>B37+1</f>
        <v>5502</v>
      </c>
      <c r="C39" s="121" t="s">
        <v>25</v>
      </c>
      <c r="D39" s="121" t="s">
        <v>26</v>
      </c>
      <c r="E39" s="131" t="s">
        <v>179</v>
      </c>
      <c r="F39" s="144" t="s">
        <v>28</v>
      </c>
      <c r="G39" s="144">
        <v>12</v>
      </c>
      <c r="H39" s="144" t="s">
        <v>29</v>
      </c>
      <c r="I39" s="14" t="s">
        <v>150</v>
      </c>
      <c r="J39" s="144" t="s">
        <v>30</v>
      </c>
      <c r="K39" s="26">
        <f>(((4.5*(28+192)%)+4.5)+((10.5*28%)+10.5))*16250</f>
        <v>452400.00000000006</v>
      </c>
      <c r="L39" s="26">
        <f t="shared" si="2"/>
        <v>65145600.000000015</v>
      </c>
      <c r="M39" s="26">
        <f t="shared" si="1"/>
        <v>65145600.000000015</v>
      </c>
      <c r="N39" s="10">
        <v>1</v>
      </c>
      <c r="O39" s="317" t="s">
        <v>208</v>
      </c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128"/>
    </row>
    <row r="40" spans="1:26" ht="51" x14ac:dyDescent="0.25">
      <c r="A40" s="121">
        <v>4</v>
      </c>
      <c r="B40" s="10">
        <f>B39</f>
        <v>5502</v>
      </c>
      <c r="C40" s="121" t="s">
        <v>34</v>
      </c>
      <c r="D40" s="121" t="s">
        <v>35</v>
      </c>
      <c r="E40" s="131" t="s">
        <v>179</v>
      </c>
      <c r="F40" s="144" t="s">
        <v>28</v>
      </c>
      <c r="G40" s="144">
        <v>12</v>
      </c>
      <c r="H40" s="144" t="s">
        <v>36</v>
      </c>
      <c r="I40" s="14" t="s">
        <v>150</v>
      </c>
      <c r="J40" s="144" t="s">
        <v>30</v>
      </c>
      <c r="K40" s="141">
        <f>((9.3*28%)+9.3)*16250</f>
        <v>193440.00000000003</v>
      </c>
      <c r="L40" s="26">
        <f t="shared" si="2"/>
        <v>27855360.000000007</v>
      </c>
      <c r="M40" s="141">
        <f t="shared" si="1"/>
        <v>27855360.000000007</v>
      </c>
      <c r="N40" s="10">
        <v>1</v>
      </c>
      <c r="O40" s="319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128"/>
    </row>
    <row r="41" spans="1:26" ht="38.25" x14ac:dyDescent="0.25">
      <c r="A41" s="163">
        <v>5</v>
      </c>
      <c r="B41" s="85">
        <f>B39+1</f>
        <v>5503</v>
      </c>
      <c r="C41" s="55" t="s">
        <v>25</v>
      </c>
      <c r="D41" s="55" t="s">
        <v>46</v>
      </c>
      <c r="E41" s="55" t="s">
        <v>146</v>
      </c>
      <c r="F41" s="55" t="s">
        <v>28</v>
      </c>
      <c r="G41" s="55">
        <v>21</v>
      </c>
      <c r="H41" s="85" t="s">
        <v>29</v>
      </c>
      <c r="I41" s="55" t="s">
        <v>148</v>
      </c>
      <c r="J41" s="55" t="s">
        <v>32</v>
      </c>
      <c r="K41" s="58">
        <f>(((4.5*(0+178)%)+4.5)+((10.5*(0+90)%)+10.5))*16250</f>
        <v>527475</v>
      </c>
      <c r="L41" s="58">
        <f t="shared" si="2"/>
        <v>132923700</v>
      </c>
      <c r="M41" s="56">
        <f t="shared" si="1"/>
        <v>132923700</v>
      </c>
      <c r="N41" s="164">
        <v>1</v>
      </c>
      <c r="O41" s="55">
        <v>5</v>
      </c>
      <c r="P41" s="55" t="s">
        <v>46</v>
      </c>
      <c r="Q41" s="55">
        <v>1050878</v>
      </c>
      <c r="R41" s="63" t="s">
        <v>198</v>
      </c>
      <c r="S41" s="55">
        <v>21</v>
      </c>
      <c r="T41" s="64"/>
      <c r="U41" s="64"/>
      <c r="V41" s="64"/>
      <c r="W41" s="55" t="s">
        <v>127</v>
      </c>
      <c r="X41" s="60">
        <v>42674</v>
      </c>
      <c r="Y41" s="60" t="s">
        <v>278</v>
      </c>
      <c r="Z41" s="58">
        <v>132923700</v>
      </c>
    </row>
    <row r="42" spans="1:26" ht="38.25" x14ac:dyDescent="0.25">
      <c r="A42" s="163">
        <v>5</v>
      </c>
      <c r="B42" s="85">
        <f>B41</f>
        <v>5503</v>
      </c>
      <c r="C42" s="55" t="s">
        <v>34</v>
      </c>
      <c r="D42" s="55" t="s">
        <v>35</v>
      </c>
      <c r="E42" s="55" t="s">
        <v>146</v>
      </c>
      <c r="F42" s="55" t="s">
        <v>28</v>
      </c>
      <c r="G42" s="55">
        <v>21</v>
      </c>
      <c r="H42" s="85" t="s">
        <v>36</v>
      </c>
      <c r="I42" s="55" t="s">
        <v>148</v>
      </c>
      <c r="J42" s="55" t="s">
        <v>32</v>
      </c>
      <c r="K42" s="58">
        <f>((9.3*0%)+9.3)*16250</f>
        <v>151125</v>
      </c>
      <c r="L42" s="58">
        <f t="shared" si="2"/>
        <v>38083500</v>
      </c>
      <c r="M42" s="56">
        <f t="shared" si="1"/>
        <v>38083500</v>
      </c>
      <c r="N42" s="164">
        <v>1</v>
      </c>
      <c r="O42" s="55">
        <v>5</v>
      </c>
      <c r="P42" s="55" t="s">
        <v>35</v>
      </c>
      <c r="Q42" s="55">
        <v>1050879</v>
      </c>
      <c r="R42" s="63" t="s">
        <v>199</v>
      </c>
      <c r="S42" s="55">
        <v>21</v>
      </c>
      <c r="T42" s="64"/>
      <c r="U42" s="64"/>
      <c r="V42" s="64"/>
      <c r="W42" s="55" t="s">
        <v>127</v>
      </c>
      <c r="X42" s="60">
        <v>42674</v>
      </c>
      <c r="Y42" s="60" t="s">
        <v>278</v>
      </c>
      <c r="Z42" s="57">
        <v>38083500</v>
      </c>
    </row>
    <row r="43" spans="1:26" ht="38.25" x14ac:dyDescent="0.25">
      <c r="A43" s="167">
        <v>5</v>
      </c>
      <c r="B43" s="156">
        <f>B41+1</f>
        <v>5504</v>
      </c>
      <c r="C43" s="140" t="s">
        <v>25</v>
      </c>
      <c r="D43" s="140" t="s">
        <v>26</v>
      </c>
      <c r="E43" s="140" t="s">
        <v>127</v>
      </c>
      <c r="F43" s="136" t="s">
        <v>28</v>
      </c>
      <c r="G43" s="136">
        <v>40</v>
      </c>
      <c r="H43" s="136" t="s">
        <v>29</v>
      </c>
      <c r="I43" s="146" t="s">
        <v>151</v>
      </c>
      <c r="J43" s="136" t="s">
        <v>55</v>
      </c>
      <c r="K43" s="25">
        <f>(((4.5*(0+178+0)%)+4.5)+((10.5*0%)+10.5))*16250</f>
        <v>373912.49999999994</v>
      </c>
      <c r="L43" s="25">
        <f t="shared" si="2"/>
        <v>179477999.99999997</v>
      </c>
      <c r="M43" s="25">
        <f t="shared" si="1"/>
        <v>179477999.99999997</v>
      </c>
      <c r="N43" s="156">
        <v>1</v>
      </c>
      <c r="O43" s="3">
        <v>5</v>
      </c>
      <c r="P43" s="140" t="s">
        <v>128</v>
      </c>
      <c r="Q43" s="140">
        <v>1050622</v>
      </c>
      <c r="R43" s="4" t="s">
        <v>129</v>
      </c>
      <c r="S43" s="140">
        <v>40</v>
      </c>
      <c r="T43" s="140">
        <v>6</v>
      </c>
      <c r="U43" s="140">
        <v>17</v>
      </c>
      <c r="V43" s="140" t="s">
        <v>55</v>
      </c>
      <c r="W43" s="140" t="s">
        <v>127</v>
      </c>
      <c r="X43" s="129">
        <v>41228</v>
      </c>
      <c r="Y43" s="129" t="s">
        <v>60</v>
      </c>
      <c r="Z43" s="13">
        <v>179478000</v>
      </c>
    </row>
    <row r="44" spans="1:26" ht="38.25" x14ac:dyDescent="0.25">
      <c r="A44" s="168">
        <v>5</v>
      </c>
      <c r="B44" s="10">
        <f>B43</f>
        <v>5504</v>
      </c>
      <c r="C44" s="7" t="s">
        <v>34</v>
      </c>
      <c r="D44" s="7" t="s">
        <v>35</v>
      </c>
      <c r="E44" s="7" t="s">
        <v>127</v>
      </c>
      <c r="F44" s="144" t="s">
        <v>28</v>
      </c>
      <c r="G44" s="144">
        <v>22</v>
      </c>
      <c r="H44" s="144" t="s">
        <v>36</v>
      </c>
      <c r="I44" s="14" t="s">
        <v>151</v>
      </c>
      <c r="J44" s="144" t="s">
        <v>55</v>
      </c>
      <c r="K44" s="141">
        <f>((9.3*0%)+9.3)*16250</f>
        <v>151125</v>
      </c>
      <c r="L44" s="26">
        <f t="shared" si="2"/>
        <v>39897000</v>
      </c>
      <c r="M44" s="141">
        <f t="shared" si="1"/>
        <v>39897000</v>
      </c>
      <c r="N44" s="10">
        <v>1</v>
      </c>
      <c r="O44" s="6">
        <v>5</v>
      </c>
      <c r="P44" s="7" t="s">
        <v>35</v>
      </c>
      <c r="Q44" s="7">
        <v>1050889</v>
      </c>
      <c r="R44" s="8" t="s">
        <v>130</v>
      </c>
      <c r="S44" s="7">
        <v>22</v>
      </c>
      <c r="T44" s="7">
        <v>6</v>
      </c>
      <c r="U44" s="7">
        <v>17</v>
      </c>
      <c r="V44" s="7" t="s">
        <v>55</v>
      </c>
      <c r="W44" s="7" t="s">
        <v>127</v>
      </c>
      <c r="X44" s="9">
        <v>42736</v>
      </c>
      <c r="Y44" s="129" t="s">
        <v>60</v>
      </c>
      <c r="Z44" s="141">
        <f>(((9.3*0%)+9.3)*16250)*S44*12</f>
        <v>39897000</v>
      </c>
    </row>
    <row r="45" spans="1:26" ht="51" x14ac:dyDescent="0.25">
      <c r="A45" s="168">
        <v>5</v>
      </c>
      <c r="B45" s="10">
        <f>B43+1</f>
        <v>5505</v>
      </c>
      <c r="C45" s="7" t="s">
        <v>25</v>
      </c>
      <c r="D45" s="7" t="s">
        <v>40</v>
      </c>
      <c r="E45" s="7" t="s">
        <v>131</v>
      </c>
      <c r="F45" s="144" t="s">
        <v>28</v>
      </c>
      <c r="G45" s="144">
        <v>23</v>
      </c>
      <c r="H45" s="144" t="s">
        <v>29</v>
      </c>
      <c r="I45" s="14" t="s">
        <v>259</v>
      </c>
      <c r="J45" s="144" t="s">
        <v>30</v>
      </c>
      <c r="K45" s="26">
        <f>(((4.5*(0+178)%)+4.5)+((10.5*(0+45)%)+10.5))*16250</f>
        <v>450693.75</v>
      </c>
      <c r="L45" s="26">
        <f t="shared" si="2"/>
        <v>124391475</v>
      </c>
      <c r="M45" s="26">
        <f t="shared" si="1"/>
        <v>124391475</v>
      </c>
      <c r="N45" s="10">
        <v>1</v>
      </c>
      <c r="O45" s="6">
        <v>5</v>
      </c>
      <c r="P45" s="7" t="s">
        <v>128</v>
      </c>
      <c r="Q45" s="7">
        <v>1050630</v>
      </c>
      <c r="R45" s="8" t="s">
        <v>132</v>
      </c>
      <c r="S45" s="7">
        <v>23</v>
      </c>
      <c r="T45" s="7">
        <v>6</v>
      </c>
      <c r="U45" s="7">
        <v>17</v>
      </c>
      <c r="V45" s="7" t="s">
        <v>30</v>
      </c>
      <c r="W45" s="7" t="s">
        <v>131</v>
      </c>
      <c r="X45" s="9">
        <v>41228</v>
      </c>
      <c r="Y45" s="9" t="s">
        <v>60</v>
      </c>
      <c r="Z45" s="13">
        <v>103199850</v>
      </c>
    </row>
    <row r="46" spans="1:26" ht="51" x14ac:dyDescent="0.25">
      <c r="A46" s="168">
        <v>5</v>
      </c>
      <c r="B46" s="10">
        <f>B45</f>
        <v>5505</v>
      </c>
      <c r="C46" s="7" t="s">
        <v>34</v>
      </c>
      <c r="D46" s="7" t="s">
        <v>43</v>
      </c>
      <c r="E46" s="7" t="s">
        <v>131</v>
      </c>
      <c r="F46" s="144" t="s">
        <v>28</v>
      </c>
      <c r="G46" s="144">
        <v>23</v>
      </c>
      <c r="H46" s="144" t="s">
        <v>36</v>
      </c>
      <c r="I46" s="14" t="s">
        <v>259</v>
      </c>
      <c r="J46" s="144" t="s">
        <v>30</v>
      </c>
      <c r="K46" s="141">
        <f>((9.3*0%)+9.3)*16250</f>
        <v>151125</v>
      </c>
      <c r="L46" s="26">
        <f t="shared" si="2"/>
        <v>41710500</v>
      </c>
      <c r="M46" s="141">
        <f t="shared" si="1"/>
        <v>41710500</v>
      </c>
      <c r="N46" s="10">
        <v>1</v>
      </c>
      <c r="O46" s="6">
        <v>5</v>
      </c>
      <c r="P46" s="7" t="s">
        <v>35</v>
      </c>
      <c r="Q46" s="7">
        <v>1050794</v>
      </c>
      <c r="R46" s="8" t="s">
        <v>133</v>
      </c>
      <c r="S46" s="7">
        <v>15</v>
      </c>
      <c r="T46" s="7">
        <v>0</v>
      </c>
      <c r="U46" s="7">
        <v>17</v>
      </c>
      <c r="V46" s="7" t="s">
        <v>30</v>
      </c>
      <c r="W46" s="7" t="s">
        <v>131</v>
      </c>
      <c r="X46" s="9">
        <v>42271</v>
      </c>
      <c r="Y46" s="9" t="s">
        <v>60</v>
      </c>
      <c r="Z46" s="141">
        <f>(((9.3*0%)+9.3)*16250)*S46*12</f>
        <v>27202500</v>
      </c>
    </row>
    <row r="47" spans="1:26" ht="51" x14ac:dyDescent="0.25">
      <c r="A47" s="168">
        <v>5</v>
      </c>
      <c r="B47" s="10">
        <f>B46</f>
        <v>5505</v>
      </c>
      <c r="C47" s="7" t="s">
        <v>34</v>
      </c>
      <c r="D47" s="7" t="s">
        <v>75</v>
      </c>
      <c r="E47" s="7" t="s">
        <v>131</v>
      </c>
      <c r="F47" s="144" t="s">
        <v>28</v>
      </c>
      <c r="G47" s="144">
        <v>23</v>
      </c>
      <c r="H47" s="144" t="s">
        <v>36</v>
      </c>
      <c r="I47" s="14" t="s">
        <v>259</v>
      </c>
      <c r="J47" s="144" t="s">
        <v>30</v>
      </c>
      <c r="K47" s="141">
        <f>((9.3*0%)+9.3)*16250</f>
        <v>151125</v>
      </c>
      <c r="L47" s="26">
        <f t="shared" si="2"/>
        <v>41710500</v>
      </c>
      <c r="M47" s="141">
        <f t="shared" si="1"/>
        <v>41710500</v>
      </c>
      <c r="N47" s="10">
        <v>1</v>
      </c>
      <c r="O47" s="6">
        <v>5</v>
      </c>
      <c r="P47" s="7" t="s">
        <v>128</v>
      </c>
      <c r="Q47" s="7">
        <v>1050605</v>
      </c>
      <c r="R47" s="8" t="s">
        <v>141</v>
      </c>
      <c r="S47" s="7"/>
      <c r="T47" s="7">
        <v>6</v>
      </c>
      <c r="U47" s="7">
        <v>18</v>
      </c>
      <c r="V47" s="7" t="s">
        <v>55</v>
      </c>
      <c r="W47" s="7" t="s">
        <v>138</v>
      </c>
      <c r="X47" s="29"/>
      <c r="Y47" s="171"/>
      <c r="Z47" s="13">
        <f>L47</f>
        <v>41710500</v>
      </c>
    </row>
    <row r="48" spans="1:26" ht="63.75" x14ac:dyDescent="0.25">
      <c r="A48" s="168">
        <v>5</v>
      </c>
      <c r="B48" s="10">
        <v>5506</v>
      </c>
      <c r="C48" s="7" t="s">
        <v>25</v>
      </c>
      <c r="D48" s="7" t="s">
        <v>40</v>
      </c>
      <c r="E48" s="7" t="s">
        <v>131</v>
      </c>
      <c r="F48" s="144" t="s">
        <v>28</v>
      </c>
      <c r="G48" s="144">
        <v>20</v>
      </c>
      <c r="H48" s="144" t="s">
        <v>29</v>
      </c>
      <c r="I48" s="14" t="s">
        <v>151</v>
      </c>
      <c r="J48" s="144" t="s">
        <v>30</v>
      </c>
      <c r="K48" s="26">
        <f>(((4.5*(0+192)%)+4.5)+((10.5*(0+45)%)+10.5))*16250</f>
        <v>460931.25000000006</v>
      </c>
      <c r="L48" s="26">
        <f t="shared" si="2"/>
        <v>110623500.00000003</v>
      </c>
      <c r="M48" s="26">
        <f>L48*N48</f>
        <v>110623500.00000003</v>
      </c>
      <c r="N48" s="10">
        <v>1</v>
      </c>
      <c r="O48" s="6">
        <v>5</v>
      </c>
      <c r="P48" s="7" t="s">
        <v>26</v>
      </c>
      <c r="Q48" s="7">
        <v>1050657</v>
      </c>
      <c r="R48" s="8" t="s">
        <v>135</v>
      </c>
      <c r="S48" s="7">
        <v>20</v>
      </c>
      <c r="T48" s="7">
        <v>6</v>
      </c>
      <c r="U48" s="7">
        <v>17</v>
      </c>
      <c r="V48" s="7" t="s">
        <v>30</v>
      </c>
      <c r="W48" s="7" t="s">
        <v>131</v>
      </c>
      <c r="X48" s="9">
        <v>41603</v>
      </c>
      <c r="Y48" s="9" t="s">
        <v>60</v>
      </c>
      <c r="Z48" s="13">
        <v>92196000</v>
      </c>
    </row>
    <row r="49" spans="1:26" ht="63.75" x14ac:dyDescent="0.25">
      <c r="A49" s="168">
        <v>5</v>
      </c>
      <c r="B49" s="10">
        <f>B48</f>
        <v>5506</v>
      </c>
      <c r="C49" s="7" t="s">
        <v>34</v>
      </c>
      <c r="D49" s="7" t="s">
        <v>43</v>
      </c>
      <c r="E49" s="7" t="s">
        <v>131</v>
      </c>
      <c r="F49" s="144" t="s">
        <v>28</v>
      </c>
      <c r="G49" s="144">
        <v>20</v>
      </c>
      <c r="H49" s="144" t="s">
        <v>36</v>
      </c>
      <c r="I49" s="14" t="s">
        <v>151</v>
      </c>
      <c r="J49" s="144" t="s">
        <v>30</v>
      </c>
      <c r="K49" s="141">
        <f>((9.3*0%)+9.3)*16250</f>
        <v>151125</v>
      </c>
      <c r="L49" s="26">
        <f t="shared" si="2"/>
        <v>36270000</v>
      </c>
      <c r="M49" s="141">
        <f>L49*N49</f>
        <v>36270000</v>
      </c>
      <c r="N49" s="10">
        <v>1</v>
      </c>
      <c r="O49" s="6">
        <v>5</v>
      </c>
      <c r="P49" s="1" t="s">
        <v>35</v>
      </c>
      <c r="Q49" s="7">
        <v>1050658</v>
      </c>
      <c r="R49" s="8" t="s">
        <v>136</v>
      </c>
      <c r="S49" s="7">
        <v>20</v>
      </c>
      <c r="T49" s="7">
        <v>6</v>
      </c>
      <c r="U49" s="7">
        <v>17</v>
      </c>
      <c r="V49" s="7" t="s">
        <v>30</v>
      </c>
      <c r="W49" s="7" t="s">
        <v>131</v>
      </c>
      <c r="X49" s="9">
        <v>41603</v>
      </c>
      <c r="Y49" s="9" t="s">
        <v>60</v>
      </c>
      <c r="Z49" s="141">
        <f>(((9.3*0%)+9.3)*16250)*S49*12</f>
        <v>36270000</v>
      </c>
    </row>
    <row r="50" spans="1:26" ht="51" x14ac:dyDescent="0.25">
      <c r="A50" s="168">
        <v>5</v>
      </c>
      <c r="B50" s="10">
        <f>B49</f>
        <v>5506</v>
      </c>
      <c r="C50" s="7" t="s">
        <v>34</v>
      </c>
      <c r="D50" s="7" t="s">
        <v>75</v>
      </c>
      <c r="E50" s="7" t="s">
        <v>131</v>
      </c>
      <c r="F50" s="144" t="s">
        <v>28</v>
      </c>
      <c r="G50" s="144">
        <v>20</v>
      </c>
      <c r="H50" s="144" t="s">
        <v>36</v>
      </c>
      <c r="I50" s="14" t="s">
        <v>151</v>
      </c>
      <c r="J50" s="144" t="s">
        <v>30</v>
      </c>
      <c r="K50" s="141">
        <f>((9.3*0%)+9.3)*16250</f>
        <v>151125</v>
      </c>
      <c r="L50" s="26">
        <f t="shared" si="2"/>
        <v>36270000</v>
      </c>
      <c r="M50" s="141">
        <f>L50*N50</f>
        <v>36270000</v>
      </c>
      <c r="N50" s="10">
        <v>1</v>
      </c>
      <c r="O50" s="6">
        <v>5</v>
      </c>
      <c r="P50" s="1" t="s">
        <v>35</v>
      </c>
      <c r="Q50" s="7">
        <v>1050801</v>
      </c>
      <c r="R50" s="8" t="s">
        <v>142</v>
      </c>
      <c r="S50" s="7">
        <v>15</v>
      </c>
      <c r="T50" s="7">
        <v>0</v>
      </c>
      <c r="U50" s="7">
        <v>17</v>
      </c>
      <c r="V50" s="7" t="s">
        <v>55</v>
      </c>
      <c r="W50" s="7" t="s">
        <v>138</v>
      </c>
      <c r="X50" s="29">
        <v>42271</v>
      </c>
      <c r="Y50" s="128"/>
      <c r="Z50" s="141">
        <f>(((9.3*0%)+9.3)*16250)*S50*12</f>
        <v>27202500</v>
      </c>
    </row>
    <row r="51" spans="1:26" ht="51" x14ac:dyDescent="0.25">
      <c r="A51" s="168">
        <v>5</v>
      </c>
      <c r="B51" s="10"/>
      <c r="C51" s="7"/>
      <c r="D51" s="7"/>
      <c r="E51" s="7"/>
      <c r="F51" s="144"/>
      <c r="G51" s="144"/>
      <c r="H51" s="144"/>
      <c r="I51" s="14"/>
      <c r="J51" s="144"/>
      <c r="K51" s="141"/>
      <c r="L51" s="26"/>
      <c r="M51" s="141"/>
      <c r="N51" s="10"/>
      <c r="O51" s="6">
        <v>5</v>
      </c>
      <c r="P51" s="7" t="s">
        <v>128</v>
      </c>
      <c r="Q51" s="7">
        <v>1050605</v>
      </c>
      <c r="R51" s="8" t="s">
        <v>141</v>
      </c>
      <c r="S51" s="7"/>
      <c r="T51" s="7">
        <v>6</v>
      </c>
      <c r="U51" s="7">
        <v>18</v>
      </c>
      <c r="V51" s="7" t="s">
        <v>55</v>
      </c>
      <c r="W51" s="7" t="s">
        <v>138</v>
      </c>
      <c r="X51" s="29"/>
      <c r="Y51" s="171"/>
      <c r="Z51" s="13">
        <f>(L50-Z50)</f>
        <v>9067500</v>
      </c>
    </row>
    <row r="52" spans="1:26" ht="25.5" x14ac:dyDescent="0.25">
      <c r="A52" s="172">
        <v>5</v>
      </c>
      <c r="B52" s="144"/>
      <c r="C52" s="1"/>
      <c r="D52" s="1"/>
      <c r="E52" s="1"/>
      <c r="F52" s="144"/>
      <c r="G52" s="144"/>
      <c r="H52" s="144"/>
      <c r="I52" s="131"/>
      <c r="J52" s="144"/>
      <c r="K52" s="26"/>
      <c r="L52" s="26"/>
      <c r="M52" s="26"/>
      <c r="N52" s="10"/>
      <c r="O52" s="16">
        <v>5</v>
      </c>
      <c r="P52" s="7" t="s">
        <v>46</v>
      </c>
      <c r="Q52" s="1">
        <v>1050726</v>
      </c>
      <c r="R52" s="18" t="s">
        <v>139</v>
      </c>
      <c r="S52" s="1">
        <v>20</v>
      </c>
      <c r="T52" s="1">
        <v>0</v>
      </c>
      <c r="U52" s="1">
        <v>17</v>
      </c>
      <c r="V52" s="1" t="s">
        <v>32</v>
      </c>
      <c r="W52" s="1" t="s">
        <v>138</v>
      </c>
      <c r="X52" s="173">
        <v>41959</v>
      </c>
      <c r="Y52" s="153" t="s">
        <v>276</v>
      </c>
      <c r="Z52" s="26">
        <v>129051000</v>
      </c>
    </row>
    <row r="53" spans="1:26" ht="25.5" x14ac:dyDescent="0.25">
      <c r="A53" s="172">
        <v>5</v>
      </c>
      <c r="B53" s="144"/>
      <c r="C53" s="1"/>
      <c r="D53" s="1"/>
      <c r="E53" s="1"/>
      <c r="F53" s="144"/>
      <c r="G53" s="144"/>
      <c r="H53" s="144"/>
      <c r="I53" s="131"/>
      <c r="J53" s="144"/>
      <c r="K53" s="141"/>
      <c r="L53" s="26"/>
      <c r="M53" s="141"/>
      <c r="N53" s="10"/>
      <c r="O53" s="16">
        <v>5</v>
      </c>
      <c r="P53" s="1" t="s">
        <v>35</v>
      </c>
      <c r="Q53" s="1">
        <v>1050727</v>
      </c>
      <c r="R53" s="18" t="s">
        <v>140</v>
      </c>
      <c r="S53" s="1">
        <v>14</v>
      </c>
      <c r="T53" s="1">
        <v>0</v>
      </c>
      <c r="U53" s="1">
        <v>5</v>
      </c>
      <c r="V53" s="1" t="s">
        <v>32</v>
      </c>
      <c r="W53" s="1" t="s">
        <v>138</v>
      </c>
      <c r="X53" s="173">
        <v>41959</v>
      </c>
      <c r="Y53" s="153" t="s">
        <v>276</v>
      </c>
      <c r="Z53" s="141">
        <f>(((9.3*0%)+9.3)*16250)*S53*12</f>
        <v>25389000</v>
      </c>
    </row>
    <row r="54" spans="1:26" ht="51" x14ac:dyDescent="0.25">
      <c r="A54" s="168">
        <v>5</v>
      </c>
      <c r="B54" s="10">
        <v>5507</v>
      </c>
      <c r="C54" s="7" t="s">
        <v>25</v>
      </c>
      <c r="D54" s="7" t="s">
        <v>26</v>
      </c>
      <c r="E54" s="1" t="s">
        <v>137</v>
      </c>
      <c r="F54" s="144" t="s">
        <v>28</v>
      </c>
      <c r="G54" s="144">
        <v>30</v>
      </c>
      <c r="H54" s="144" t="s">
        <v>29</v>
      </c>
      <c r="I54" s="131" t="s">
        <v>152</v>
      </c>
      <c r="J54" s="144" t="s">
        <v>30</v>
      </c>
      <c r="K54" s="26">
        <f>(((4.5*(0+178)%)+4.5)+((10.5*0%)+10.5))*16250</f>
        <v>373912.49999999994</v>
      </c>
      <c r="L54" s="26">
        <f t="shared" si="2"/>
        <v>134608499.99999997</v>
      </c>
      <c r="M54" s="26">
        <f>L54*N54</f>
        <v>134608499.99999997</v>
      </c>
      <c r="N54" s="10">
        <v>1</v>
      </c>
      <c r="O54" s="6">
        <v>5</v>
      </c>
      <c r="P54" s="7" t="s">
        <v>26</v>
      </c>
      <c r="Q54" s="7">
        <v>1050946</v>
      </c>
      <c r="R54" s="8" t="s">
        <v>143</v>
      </c>
      <c r="S54" s="7">
        <v>50</v>
      </c>
      <c r="T54" s="7">
        <v>6</v>
      </c>
      <c r="U54" s="7">
        <v>17</v>
      </c>
      <c r="V54" s="7" t="s">
        <v>32</v>
      </c>
      <c r="W54" s="7" t="s">
        <v>144</v>
      </c>
      <c r="X54" s="29">
        <v>42916</v>
      </c>
      <c r="Y54" s="128" t="s">
        <v>60</v>
      </c>
      <c r="Z54" s="13">
        <v>155025000</v>
      </c>
    </row>
    <row r="55" spans="1:26" ht="51" x14ac:dyDescent="0.25">
      <c r="A55" s="168">
        <v>5</v>
      </c>
      <c r="B55" s="10">
        <f>B54</f>
        <v>5507</v>
      </c>
      <c r="C55" s="7" t="s">
        <v>34</v>
      </c>
      <c r="D55" s="7" t="s">
        <v>35</v>
      </c>
      <c r="E55" s="1" t="s">
        <v>137</v>
      </c>
      <c r="F55" s="144" t="s">
        <v>28</v>
      </c>
      <c r="G55" s="144">
        <v>30</v>
      </c>
      <c r="H55" s="144" t="s">
        <v>36</v>
      </c>
      <c r="I55" s="131" t="s">
        <v>152</v>
      </c>
      <c r="J55" s="144" t="s">
        <v>30</v>
      </c>
      <c r="K55" s="141">
        <f>((9.3*0%)+9.3)*16250</f>
        <v>151125</v>
      </c>
      <c r="L55" s="26">
        <f t="shared" si="2"/>
        <v>54405000</v>
      </c>
      <c r="M55" s="141">
        <f t="shared" ref="M55:M64" si="3">L55*N55</f>
        <v>54405000</v>
      </c>
      <c r="N55" s="10">
        <v>1</v>
      </c>
      <c r="O55" s="17">
        <v>5</v>
      </c>
      <c r="P55" s="1" t="s">
        <v>35</v>
      </c>
      <c r="Q55" s="138">
        <v>1050947</v>
      </c>
      <c r="R55" s="22" t="s">
        <v>145</v>
      </c>
      <c r="S55" s="138">
        <v>50</v>
      </c>
      <c r="T55" s="138">
        <v>6</v>
      </c>
      <c r="U55" s="138">
        <v>17</v>
      </c>
      <c r="V55" s="138" t="s">
        <v>32</v>
      </c>
      <c r="W55" s="138" t="s">
        <v>144</v>
      </c>
      <c r="X55" s="31">
        <v>42917</v>
      </c>
      <c r="Y55" s="128" t="s">
        <v>60</v>
      </c>
      <c r="Z55" s="141">
        <f>(((9.3*0%)+9.3)*16250)*S55*12</f>
        <v>90675000</v>
      </c>
    </row>
    <row r="56" spans="1:26" ht="51" x14ac:dyDescent="0.25">
      <c r="A56" s="121">
        <v>5</v>
      </c>
      <c r="B56" s="10">
        <v>5508</v>
      </c>
      <c r="C56" s="121" t="s">
        <v>25</v>
      </c>
      <c r="D56" s="121" t="s">
        <v>40</v>
      </c>
      <c r="E56" s="131" t="s">
        <v>147</v>
      </c>
      <c r="F56" s="144" t="s">
        <v>28</v>
      </c>
      <c r="G56" s="144">
        <v>12</v>
      </c>
      <c r="H56" s="144" t="s">
        <v>29</v>
      </c>
      <c r="I56" s="14" t="s">
        <v>150</v>
      </c>
      <c r="J56" s="144" t="s">
        <v>30</v>
      </c>
      <c r="K56" s="26">
        <f>(((4.5*(0+192)%)+4.5)+((10.5*(0+45)%)+10.5))*16250</f>
        <v>460931.25000000006</v>
      </c>
      <c r="L56" s="26">
        <f t="shared" si="2"/>
        <v>66374100.000000015</v>
      </c>
      <c r="M56" s="26">
        <f t="shared" si="3"/>
        <v>66374100.000000015</v>
      </c>
      <c r="N56" s="174">
        <v>1</v>
      </c>
      <c r="O56" s="321" t="s">
        <v>68</v>
      </c>
      <c r="P56" s="321"/>
      <c r="Q56" s="321"/>
      <c r="R56" s="321"/>
      <c r="S56" s="321"/>
      <c r="T56" s="321"/>
      <c r="U56" s="321"/>
      <c r="V56" s="321"/>
      <c r="W56" s="321"/>
      <c r="X56" s="321"/>
      <c r="Y56" s="321"/>
      <c r="Z56" s="13">
        <v>66374100</v>
      </c>
    </row>
    <row r="57" spans="1:26" ht="51" x14ac:dyDescent="0.25">
      <c r="A57" s="121">
        <v>5</v>
      </c>
      <c r="B57" s="10">
        <f>B56</f>
        <v>5508</v>
      </c>
      <c r="C57" s="121" t="s">
        <v>34</v>
      </c>
      <c r="D57" s="121" t="s">
        <v>43</v>
      </c>
      <c r="E57" s="131" t="s">
        <v>147</v>
      </c>
      <c r="F57" s="144" t="s">
        <v>28</v>
      </c>
      <c r="G57" s="144">
        <v>12</v>
      </c>
      <c r="H57" s="144" t="s">
        <v>36</v>
      </c>
      <c r="I57" s="14" t="s">
        <v>150</v>
      </c>
      <c r="J57" s="144" t="s">
        <v>30</v>
      </c>
      <c r="K57" s="141">
        <f>((9.3*0%)+9.3)*16250</f>
        <v>151125</v>
      </c>
      <c r="L57" s="26">
        <f t="shared" si="2"/>
        <v>21762000</v>
      </c>
      <c r="M57" s="141">
        <f t="shared" si="3"/>
        <v>21762000</v>
      </c>
      <c r="N57" s="174">
        <v>1</v>
      </c>
      <c r="O57" s="321"/>
      <c r="P57" s="321"/>
      <c r="Q57" s="321"/>
      <c r="R57" s="321"/>
      <c r="S57" s="321"/>
      <c r="T57" s="321"/>
      <c r="U57" s="321"/>
      <c r="V57" s="321"/>
      <c r="W57" s="321"/>
      <c r="X57" s="321"/>
      <c r="Y57" s="321"/>
      <c r="Z57" s="13">
        <v>21762000</v>
      </c>
    </row>
    <row r="58" spans="1:26" ht="51" x14ac:dyDescent="0.25">
      <c r="A58" s="125">
        <v>5</v>
      </c>
      <c r="B58" s="10">
        <f>B57</f>
        <v>5508</v>
      </c>
      <c r="C58" s="125" t="s">
        <v>34</v>
      </c>
      <c r="D58" s="125" t="s">
        <v>75</v>
      </c>
      <c r="E58" s="122" t="s">
        <v>147</v>
      </c>
      <c r="F58" s="135" t="s">
        <v>28</v>
      </c>
      <c r="G58" s="144">
        <v>12</v>
      </c>
      <c r="H58" s="135" t="s">
        <v>36</v>
      </c>
      <c r="I58" s="145" t="s">
        <v>150</v>
      </c>
      <c r="J58" s="135" t="s">
        <v>30</v>
      </c>
      <c r="K58" s="157">
        <f>((9.3*0%)+9.3)*16250</f>
        <v>151125</v>
      </c>
      <c r="L58" s="21">
        <f t="shared" si="2"/>
        <v>21762000</v>
      </c>
      <c r="M58" s="157">
        <f t="shared" si="3"/>
        <v>21762000</v>
      </c>
      <c r="N58" s="175">
        <v>1</v>
      </c>
      <c r="O58" s="322"/>
      <c r="P58" s="321"/>
      <c r="Q58" s="321"/>
      <c r="R58" s="321"/>
      <c r="S58" s="321"/>
      <c r="T58" s="321"/>
      <c r="U58" s="321"/>
      <c r="V58" s="321"/>
      <c r="W58" s="321"/>
      <c r="X58" s="321"/>
      <c r="Y58" s="321"/>
      <c r="Z58" s="13">
        <v>21762000</v>
      </c>
    </row>
    <row r="59" spans="1:26" ht="51" x14ac:dyDescent="0.25">
      <c r="A59" s="125">
        <v>5</v>
      </c>
      <c r="B59" s="155">
        <v>5509</v>
      </c>
      <c r="C59" s="121" t="s">
        <v>25</v>
      </c>
      <c r="D59" s="121" t="s">
        <v>26</v>
      </c>
      <c r="E59" s="131" t="s">
        <v>215</v>
      </c>
      <c r="F59" s="144" t="s">
        <v>28</v>
      </c>
      <c r="G59" s="126">
        <v>38</v>
      </c>
      <c r="H59" s="135" t="s">
        <v>33</v>
      </c>
      <c r="I59" s="145" t="s">
        <v>150</v>
      </c>
      <c r="J59" s="135" t="s">
        <v>55</v>
      </c>
      <c r="K59" s="26">
        <f>(((4.5*(0+178+7)%)+4.5)+((10.5*0%)+10.5))*16250</f>
        <v>379031.25000000006</v>
      </c>
      <c r="L59" s="21">
        <f t="shared" si="2"/>
        <v>172838250.00000003</v>
      </c>
      <c r="M59" s="157">
        <f t="shared" si="3"/>
        <v>172838250.00000003</v>
      </c>
      <c r="N59" s="175">
        <v>1</v>
      </c>
      <c r="O59" s="125">
        <v>5</v>
      </c>
      <c r="P59" s="121" t="s">
        <v>26</v>
      </c>
      <c r="Q59" s="126">
        <v>1050552</v>
      </c>
      <c r="R59" s="160" t="s">
        <v>211</v>
      </c>
      <c r="S59" s="126">
        <v>38</v>
      </c>
      <c r="T59" s="125">
        <v>12</v>
      </c>
      <c r="U59" s="125">
        <v>17</v>
      </c>
      <c r="V59" s="125" t="s">
        <v>55</v>
      </c>
      <c r="W59" s="131" t="s">
        <v>215</v>
      </c>
      <c r="X59" s="153">
        <v>40830</v>
      </c>
      <c r="Y59" s="153">
        <v>43569</v>
      </c>
      <c r="Z59" s="13">
        <v>172838250.00000003</v>
      </c>
    </row>
    <row r="60" spans="1:26" ht="51" x14ac:dyDescent="0.25">
      <c r="A60" s="125">
        <v>5</v>
      </c>
      <c r="B60" s="155">
        <f>B59</f>
        <v>5509</v>
      </c>
      <c r="C60" s="121" t="s">
        <v>34</v>
      </c>
      <c r="D60" s="121" t="s">
        <v>35</v>
      </c>
      <c r="E60" s="131" t="s">
        <v>215</v>
      </c>
      <c r="F60" s="144" t="s">
        <v>28</v>
      </c>
      <c r="G60" s="126">
        <v>38</v>
      </c>
      <c r="H60" s="135" t="s">
        <v>36</v>
      </c>
      <c r="I60" s="145" t="s">
        <v>150</v>
      </c>
      <c r="J60" s="135" t="s">
        <v>55</v>
      </c>
      <c r="K60" s="157">
        <f>((9.3*0%)+9.3)*16250</f>
        <v>151125</v>
      </c>
      <c r="L60" s="21">
        <f t="shared" si="2"/>
        <v>68913000</v>
      </c>
      <c r="M60" s="157">
        <f t="shared" si="3"/>
        <v>68913000</v>
      </c>
      <c r="N60" s="175">
        <v>1</v>
      </c>
      <c r="O60" s="125">
        <v>5</v>
      </c>
      <c r="P60" s="121" t="s">
        <v>35</v>
      </c>
      <c r="Q60" s="126">
        <v>1050893</v>
      </c>
      <c r="R60" s="160" t="s">
        <v>212</v>
      </c>
      <c r="S60" s="126">
        <v>38</v>
      </c>
      <c r="T60" s="125">
        <v>12</v>
      </c>
      <c r="U60" s="125">
        <v>17</v>
      </c>
      <c r="V60" s="125" t="s">
        <v>55</v>
      </c>
      <c r="W60" s="131" t="s">
        <v>215</v>
      </c>
      <c r="X60" s="153">
        <v>42736</v>
      </c>
      <c r="Y60" s="153">
        <v>43569</v>
      </c>
      <c r="Z60" s="13">
        <v>68913000</v>
      </c>
    </row>
    <row r="61" spans="1:26" ht="38.25" x14ac:dyDescent="0.25">
      <c r="A61" s="125">
        <v>5</v>
      </c>
      <c r="B61" s="155">
        <f>B59+1</f>
        <v>5510</v>
      </c>
      <c r="C61" s="121" t="s">
        <v>25</v>
      </c>
      <c r="D61" s="121" t="s">
        <v>26</v>
      </c>
      <c r="E61" s="131" t="s">
        <v>144</v>
      </c>
      <c r="F61" s="122" t="s">
        <v>216</v>
      </c>
      <c r="G61" s="121">
        <v>27</v>
      </c>
      <c r="H61" s="135" t="s">
        <v>33</v>
      </c>
      <c r="I61" s="145" t="s">
        <v>152</v>
      </c>
      <c r="J61" s="135" t="s">
        <v>55</v>
      </c>
      <c r="K61" s="26">
        <f>(((4.5*(0+178+7)%)+4.5)+((10.5*0%)+10.5))*16250</f>
        <v>379031.25000000006</v>
      </c>
      <c r="L61" s="21">
        <f t="shared" si="2"/>
        <v>122806125.00000003</v>
      </c>
      <c r="M61" s="157">
        <f t="shared" si="3"/>
        <v>122806125.00000003</v>
      </c>
      <c r="N61" s="175">
        <v>1</v>
      </c>
      <c r="O61" s="125">
        <v>5</v>
      </c>
      <c r="P61" s="121" t="s">
        <v>26</v>
      </c>
      <c r="Q61" s="126">
        <v>1050625</v>
      </c>
      <c r="R61" s="160" t="s">
        <v>213</v>
      </c>
      <c r="S61" s="126">
        <v>27</v>
      </c>
      <c r="T61" s="125">
        <v>6</v>
      </c>
      <c r="U61" s="125">
        <v>17</v>
      </c>
      <c r="V61" s="125" t="s">
        <v>55</v>
      </c>
      <c r="W61" s="131" t="s">
        <v>144</v>
      </c>
      <c r="X61" s="153">
        <v>41228</v>
      </c>
      <c r="Y61" s="153" t="s">
        <v>60</v>
      </c>
      <c r="Z61" s="13">
        <v>122806125.00000003</v>
      </c>
    </row>
    <row r="62" spans="1:26" ht="38.25" x14ac:dyDescent="0.25">
      <c r="A62" s="125">
        <v>5</v>
      </c>
      <c r="B62" s="155">
        <f>B61</f>
        <v>5510</v>
      </c>
      <c r="C62" s="121" t="s">
        <v>34</v>
      </c>
      <c r="D62" s="121" t="s">
        <v>35</v>
      </c>
      <c r="E62" s="131" t="s">
        <v>144</v>
      </c>
      <c r="F62" s="122" t="s">
        <v>216</v>
      </c>
      <c r="G62" s="126">
        <v>27</v>
      </c>
      <c r="H62" s="135" t="s">
        <v>36</v>
      </c>
      <c r="I62" s="145" t="s">
        <v>152</v>
      </c>
      <c r="J62" s="135" t="s">
        <v>55</v>
      </c>
      <c r="K62" s="157">
        <f>((9.3*0%)+9.3)*16250</f>
        <v>151125</v>
      </c>
      <c r="L62" s="21">
        <f t="shared" si="2"/>
        <v>48964500</v>
      </c>
      <c r="M62" s="157">
        <f t="shared" si="3"/>
        <v>48964500</v>
      </c>
      <c r="N62" s="175">
        <v>1</v>
      </c>
      <c r="O62" s="125">
        <v>5</v>
      </c>
      <c r="P62" s="121" t="s">
        <v>35</v>
      </c>
      <c r="Q62" s="91"/>
      <c r="R62" s="160" t="s">
        <v>214</v>
      </c>
      <c r="S62" s="126">
        <v>27</v>
      </c>
      <c r="T62" s="125">
        <v>6</v>
      </c>
      <c r="U62" s="125">
        <v>17</v>
      </c>
      <c r="V62" s="125" t="s">
        <v>55</v>
      </c>
      <c r="W62" s="131" t="s">
        <v>144</v>
      </c>
      <c r="X62" s="91"/>
      <c r="Y62" s="153" t="s">
        <v>60</v>
      </c>
      <c r="Z62" s="13">
        <v>48964500</v>
      </c>
    </row>
    <row r="63" spans="1:26" ht="63.75" x14ac:dyDescent="0.25">
      <c r="A63" s="125">
        <v>5</v>
      </c>
      <c r="B63" s="155">
        <f>B61+1</f>
        <v>5511</v>
      </c>
      <c r="C63" s="121" t="s">
        <v>25</v>
      </c>
      <c r="D63" s="121" t="s">
        <v>41</v>
      </c>
      <c r="E63" s="144" t="s">
        <v>138</v>
      </c>
      <c r="F63" s="144" t="s">
        <v>28</v>
      </c>
      <c r="G63" s="144">
        <v>10</v>
      </c>
      <c r="H63" s="144" t="s">
        <v>29</v>
      </c>
      <c r="I63" s="145" t="s">
        <v>150</v>
      </c>
      <c r="J63" s="144" t="s">
        <v>55</v>
      </c>
      <c r="K63" s="26">
        <f>(((4.5*(0+192)%)+4.5)+((10.5*(0+45)%)+10.5))*16250</f>
        <v>460931.25000000006</v>
      </c>
      <c r="L63" s="21">
        <f t="shared" si="2"/>
        <v>55311750.000000015</v>
      </c>
      <c r="M63" s="157">
        <f t="shared" si="3"/>
        <v>55311750.000000015</v>
      </c>
      <c r="N63" s="175">
        <v>1</v>
      </c>
      <c r="O63" s="125">
        <v>5</v>
      </c>
      <c r="P63" s="121" t="s">
        <v>41</v>
      </c>
      <c r="Q63" s="126">
        <v>1050595</v>
      </c>
      <c r="R63" s="160" t="s">
        <v>217</v>
      </c>
      <c r="S63" s="126">
        <v>20</v>
      </c>
      <c r="T63" s="125">
        <v>12</v>
      </c>
      <c r="U63" s="125">
        <v>17</v>
      </c>
      <c r="V63" s="125" t="s">
        <v>55</v>
      </c>
      <c r="W63" s="131" t="s">
        <v>215</v>
      </c>
      <c r="X63" s="153">
        <v>43041</v>
      </c>
      <c r="Y63" s="153" t="s">
        <v>279</v>
      </c>
      <c r="Z63" s="13">
        <v>110623500.00000003</v>
      </c>
    </row>
    <row r="64" spans="1:26" ht="63.75" x14ac:dyDescent="0.25">
      <c r="A64" s="121">
        <v>5</v>
      </c>
      <c r="B64" s="10">
        <f>B63</f>
        <v>5511</v>
      </c>
      <c r="C64" s="121" t="s">
        <v>34</v>
      </c>
      <c r="D64" s="121" t="s">
        <v>35</v>
      </c>
      <c r="E64" s="144" t="s">
        <v>138</v>
      </c>
      <c r="F64" s="144" t="s">
        <v>28</v>
      </c>
      <c r="G64" s="144">
        <v>10</v>
      </c>
      <c r="H64" s="144" t="s">
        <v>36</v>
      </c>
      <c r="I64" s="14" t="s">
        <v>150</v>
      </c>
      <c r="J64" s="144" t="s">
        <v>55</v>
      </c>
      <c r="K64" s="141">
        <f>((9.3*0%)+9.3)*16250</f>
        <v>151125</v>
      </c>
      <c r="L64" s="26">
        <f t="shared" si="2"/>
        <v>18135000</v>
      </c>
      <c r="M64" s="157">
        <f t="shared" si="3"/>
        <v>18135000</v>
      </c>
      <c r="N64" s="175">
        <v>1</v>
      </c>
      <c r="O64" s="121">
        <v>5</v>
      </c>
      <c r="P64" s="121" t="s">
        <v>35</v>
      </c>
      <c r="Q64" s="121">
        <v>1050596</v>
      </c>
      <c r="R64" s="137" t="s">
        <v>218</v>
      </c>
      <c r="S64" s="121">
        <v>20</v>
      </c>
      <c r="T64" s="121">
        <v>12</v>
      </c>
      <c r="U64" s="121">
        <v>17</v>
      </c>
      <c r="V64" s="121" t="s">
        <v>55</v>
      </c>
      <c r="W64" s="131" t="s">
        <v>215</v>
      </c>
      <c r="X64" s="153">
        <v>43041</v>
      </c>
      <c r="Y64" s="153" t="s">
        <v>279</v>
      </c>
      <c r="Z64" s="13">
        <v>36270000</v>
      </c>
    </row>
    <row r="65" spans="1:26" ht="51" x14ac:dyDescent="0.25">
      <c r="A65" s="121">
        <v>6</v>
      </c>
      <c r="B65" s="10">
        <f>B63+1</f>
        <v>5512</v>
      </c>
      <c r="C65" s="121" t="s">
        <v>25</v>
      </c>
      <c r="D65" s="121" t="s">
        <v>40</v>
      </c>
      <c r="E65" s="131" t="s">
        <v>52</v>
      </c>
      <c r="F65" s="144" t="s">
        <v>28</v>
      </c>
      <c r="G65" s="144">
        <v>20</v>
      </c>
      <c r="H65" s="144" t="s">
        <v>29</v>
      </c>
      <c r="I65" s="14" t="s">
        <v>150</v>
      </c>
      <c r="J65" s="14" t="s">
        <v>30</v>
      </c>
      <c r="K65" s="26">
        <f>(((4.5*(0+192)%)+4.5)+((10.5*(0+45)%)+10.5))*16250</f>
        <v>460931.25000000006</v>
      </c>
      <c r="L65" s="26">
        <f t="shared" si="2"/>
        <v>110623500.00000003</v>
      </c>
      <c r="M65" s="26">
        <f t="shared" ref="M65:M75" si="4">L65*N65</f>
        <v>110623500.00000003</v>
      </c>
      <c r="N65" s="10">
        <v>1</v>
      </c>
      <c r="O65" s="301">
        <v>6</v>
      </c>
      <c r="P65" s="253" t="s">
        <v>26</v>
      </c>
      <c r="Q65" s="265">
        <v>1060182</v>
      </c>
      <c r="R65" s="267" t="s">
        <v>49</v>
      </c>
      <c r="S65" s="265">
        <v>66</v>
      </c>
      <c r="T65" s="297"/>
      <c r="U65" s="297"/>
      <c r="V65" s="297"/>
      <c r="W65" s="265" t="s">
        <v>50</v>
      </c>
      <c r="X65" s="255">
        <v>41204</v>
      </c>
      <c r="Y65" s="255" t="s">
        <v>276</v>
      </c>
      <c r="Z65" s="296">
        <v>193050000</v>
      </c>
    </row>
    <row r="66" spans="1:26" ht="51" x14ac:dyDescent="0.25">
      <c r="A66" s="121">
        <v>6</v>
      </c>
      <c r="B66" s="10">
        <f>B65</f>
        <v>5512</v>
      </c>
      <c r="C66" s="121" t="s">
        <v>34</v>
      </c>
      <c r="D66" s="121" t="s">
        <v>43</v>
      </c>
      <c r="E66" s="131" t="s">
        <v>52</v>
      </c>
      <c r="F66" s="144" t="s">
        <v>28</v>
      </c>
      <c r="G66" s="144">
        <v>20</v>
      </c>
      <c r="H66" s="144" t="s">
        <v>36</v>
      </c>
      <c r="I66" s="14" t="s">
        <v>150</v>
      </c>
      <c r="J66" s="14" t="s">
        <v>30</v>
      </c>
      <c r="K66" s="141">
        <f>((9.3*0%)+9.3)*16250</f>
        <v>151125</v>
      </c>
      <c r="L66" s="26">
        <f t="shared" si="2"/>
        <v>36270000</v>
      </c>
      <c r="M66" s="141">
        <f t="shared" si="4"/>
        <v>36270000</v>
      </c>
      <c r="N66" s="10">
        <v>1</v>
      </c>
      <c r="O66" s="301"/>
      <c r="P66" s="253"/>
      <c r="Q66" s="264"/>
      <c r="R66" s="266"/>
      <c r="S66" s="264"/>
      <c r="T66" s="298"/>
      <c r="U66" s="298"/>
      <c r="V66" s="298"/>
      <c r="W66" s="264"/>
      <c r="X66" s="254"/>
      <c r="Y66" s="254"/>
      <c r="Z66" s="296"/>
    </row>
    <row r="67" spans="1:26" ht="63.75" x14ac:dyDescent="0.25">
      <c r="A67" s="176">
        <v>6</v>
      </c>
      <c r="B67" s="156">
        <f>B66</f>
        <v>5512</v>
      </c>
      <c r="C67" s="140" t="s">
        <v>34</v>
      </c>
      <c r="D67" s="148" t="s">
        <v>75</v>
      </c>
      <c r="E67" s="130" t="s">
        <v>52</v>
      </c>
      <c r="F67" s="42" t="s">
        <v>28</v>
      </c>
      <c r="G67" s="42">
        <v>20</v>
      </c>
      <c r="H67" s="42" t="s">
        <v>36</v>
      </c>
      <c r="I67" s="14" t="s">
        <v>150</v>
      </c>
      <c r="J67" s="43" t="s">
        <v>30</v>
      </c>
      <c r="K67" s="141">
        <f>((9.3*0%)+9.3)*16250</f>
        <v>151125</v>
      </c>
      <c r="L67" s="44">
        <f t="shared" si="2"/>
        <v>36270000</v>
      </c>
      <c r="M67" s="44">
        <f t="shared" si="4"/>
        <v>36270000</v>
      </c>
      <c r="N67" s="10">
        <v>1</v>
      </c>
      <c r="O67" s="33">
        <v>6</v>
      </c>
      <c r="P67" s="121" t="s">
        <v>35</v>
      </c>
      <c r="Q67" s="131">
        <v>1060183</v>
      </c>
      <c r="R67" s="90" t="s">
        <v>51</v>
      </c>
      <c r="S67" s="131">
        <v>40</v>
      </c>
      <c r="T67" s="141"/>
      <c r="U67" s="141"/>
      <c r="V67" s="141"/>
      <c r="W67" s="131" t="s">
        <v>50</v>
      </c>
      <c r="X67" s="153">
        <v>41204</v>
      </c>
      <c r="Y67" s="153" t="s">
        <v>276</v>
      </c>
      <c r="Z67" s="141">
        <v>72540000</v>
      </c>
    </row>
    <row r="68" spans="1:26" ht="38.25" x14ac:dyDescent="0.25">
      <c r="A68" s="121">
        <v>6</v>
      </c>
      <c r="B68" s="10">
        <v>5513</v>
      </c>
      <c r="C68" s="121" t="s">
        <v>25</v>
      </c>
      <c r="D68" s="121" t="s">
        <v>26</v>
      </c>
      <c r="E68" s="131" t="s">
        <v>52</v>
      </c>
      <c r="F68" s="144" t="s">
        <v>28</v>
      </c>
      <c r="G68" s="144">
        <v>20</v>
      </c>
      <c r="H68" s="144" t="s">
        <v>29</v>
      </c>
      <c r="I68" s="146" t="s">
        <v>151</v>
      </c>
      <c r="J68" s="14" t="s">
        <v>30</v>
      </c>
      <c r="K68" s="26">
        <f>(((4.5*(0+192)%)+4.5)+((10.5*0%)+10.5))*16250</f>
        <v>384150</v>
      </c>
      <c r="L68" s="26">
        <f t="shared" si="2"/>
        <v>92196000</v>
      </c>
      <c r="M68" s="26">
        <f t="shared" si="4"/>
        <v>92196000</v>
      </c>
      <c r="N68" s="10">
        <v>1</v>
      </c>
      <c r="O68" s="131">
        <v>6</v>
      </c>
      <c r="P68" s="121" t="s">
        <v>46</v>
      </c>
      <c r="Q68" s="131">
        <v>1060184</v>
      </c>
      <c r="R68" s="2" t="s">
        <v>53</v>
      </c>
      <c r="S68" s="131">
        <v>41</v>
      </c>
      <c r="T68" s="37"/>
      <c r="U68" s="37"/>
      <c r="V68" s="37"/>
      <c r="W68" s="130" t="s">
        <v>50</v>
      </c>
      <c r="X68" s="82"/>
      <c r="Y68" s="128" t="s">
        <v>276</v>
      </c>
      <c r="Z68" s="26">
        <v>202673250</v>
      </c>
    </row>
    <row r="69" spans="1:26" ht="38.25" x14ac:dyDescent="0.25">
      <c r="A69" s="121">
        <v>6</v>
      </c>
      <c r="B69" s="10">
        <f>B68</f>
        <v>5513</v>
      </c>
      <c r="C69" s="121" t="s">
        <v>34</v>
      </c>
      <c r="D69" s="121" t="s">
        <v>35</v>
      </c>
      <c r="E69" s="131" t="s">
        <v>52</v>
      </c>
      <c r="F69" s="144" t="s">
        <v>28</v>
      </c>
      <c r="G69" s="144">
        <v>20</v>
      </c>
      <c r="H69" s="144" t="s">
        <v>36</v>
      </c>
      <c r="I69" s="146" t="s">
        <v>151</v>
      </c>
      <c r="J69" s="14" t="s">
        <v>30</v>
      </c>
      <c r="K69" s="141">
        <f>((9.3*0%)+9.3)*16250</f>
        <v>151125</v>
      </c>
      <c r="L69" s="26">
        <f t="shared" si="2"/>
        <v>36270000</v>
      </c>
      <c r="M69" s="141">
        <f t="shared" si="4"/>
        <v>36270000</v>
      </c>
      <c r="N69" s="10">
        <v>1</v>
      </c>
      <c r="O69" s="131">
        <v>6</v>
      </c>
      <c r="P69" s="121" t="s">
        <v>35</v>
      </c>
      <c r="Q69" s="131">
        <v>1060185</v>
      </c>
      <c r="R69" s="2" t="s">
        <v>54</v>
      </c>
      <c r="S69" s="131">
        <v>40</v>
      </c>
      <c r="T69" s="26"/>
      <c r="U69" s="26"/>
      <c r="V69" s="26"/>
      <c r="W69" s="131" t="s">
        <v>50</v>
      </c>
      <c r="X69" s="116"/>
      <c r="Y69" s="128" t="s">
        <v>276</v>
      </c>
      <c r="Z69" s="141">
        <f>(((9.3*0%)+9.3)*16250)*S69*12</f>
        <v>72540000</v>
      </c>
    </row>
    <row r="70" spans="1:26" ht="51" x14ac:dyDescent="0.25">
      <c r="A70" s="126">
        <v>6</v>
      </c>
      <c r="B70" s="10">
        <f>B68+1</f>
        <v>5514</v>
      </c>
      <c r="C70" s="126" t="s">
        <v>25</v>
      </c>
      <c r="D70" s="126" t="s">
        <v>40</v>
      </c>
      <c r="E70" s="123" t="s">
        <v>52</v>
      </c>
      <c r="F70" s="136" t="s">
        <v>28</v>
      </c>
      <c r="G70" s="136">
        <v>20</v>
      </c>
      <c r="H70" s="136" t="s">
        <v>29</v>
      </c>
      <c r="I70" s="14" t="s">
        <v>150</v>
      </c>
      <c r="J70" s="146" t="s">
        <v>55</v>
      </c>
      <c r="K70" s="26">
        <f>(((4.5*(0+192)%)+4.5)+((10.5*(0+45)%)+10.5))*16250</f>
        <v>460931.25000000006</v>
      </c>
      <c r="L70" s="25">
        <f t="shared" si="2"/>
        <v>110623500.00000003</v>
      </c>
      <c r="M70" s="26">
        <f t="shared" si="4"/>
        <v>110623500.00000003</v>
      </c>
      <c r="N70" s="10">
        <v>1</v>
      </c>
      <c r="O70" s="3">
        <v>6</v>
      </c>
      <c r="P70" s="250" t="s">
        <v>26</v>
      </c>
      <c r="Q70" s="250">
        <v>1060169</v>
      </c>
      <c r="R70" s="251" t="s">
        <v>57</v>
      </c>
      <c r="S70" s="250">
        <v>32</v>
      </c>
      <c r="T70" s="314">
        <v>0</v>
      </c>
      <c r="U70" s="314">
        <v>17</v>
      </c>
      <c r="V70" s="314" t="s">
        <v>55</v>
      </c>
      <c r="W70" s="314" t="s">
        <v>52</v>
      </c>
      <c r="X70" s="310">
        <v>40725</v>
      </c>
      <c r="Y70" s="310" t="s">
        <v>60</v>
      </c>
      <c r="Z70" s="242">
        <v>143582399.99999997</v>
      </c>
    </row>
    <row r="71" spans="1:26" ht="51" x14ac:dyDescent="0.25">
      <c r="A71" s="121">
        <v>6</v>
      </c>
      <c r="B71" s="10">
        <f>B70</f>
        <v>5514</v>
      </c>
      <c r="C71" s="121" t="s">
        <v>34</v>
      </c>
      <c r="D71" s="121" t="s">
        <v>43</v>
      </c>
      <c r="E71" s="131" t="s">
        <v>52</v>
      </c>
      <c r="F71" s="144" t="s">
        <v>28</v>
      </c>
      <c r="G71" s="144">
        <v>20</v>
      </c>
      <c r="H71" s="144" t="s">
        <v>36</v>
      </c>
      <c r="I71" s="14" t="s">
        <v>150</v>
      </c>
      <c r="J71" s="14" t="s">
        <v>55</v>
      </c>
      <c r="K71" s="141">
        <f>((9.3*0%)+9.3)*16250</f>
        <v>151125</v>
      </c>
      <c r="L71" s="26">
        <f t="shared" si="2"/>
        <v>36270000</v>
      </c>
      <c r="M71" s="141">
        <f t="shared" si="4"/>
        <v>36270000</v>
      </c>
      <c r="N71" s="10">
        <v>1</v>
      </c>
      <c r="O71" s="3">
        <v>6</v>
      </c>
      <c r="P71" s="312"/>
      <c r="Q71" s="312"/>
      <c r="R71" s="313"/>
      <c r="S71" s="312"/>
      <c r="T71" s="312"/>
      <c r="U71" s="312"/>
      <c r="V71" s="312"/>
      <c r="W71" s="312"/>
      <c r="X71" s="311"/>
      <c r="Y71" s="311"/>
      <c r="Z71" s="242"/>
    </row>
    <row r="72" spans="1:26" ht="51" x14ac:dyDescent="0.25">
      <c r="A72" s="121">
        <v>6</v>
      </c>
      <c r="B72" s="10">
        <f>B71</f>
        <v>5514</v>
      </c>
      <c r="C72" s="121" t="s">
        <v>34</v>
      </c>
      <c r="D72" s="121" t="s">
        <v>75</v>
      </c>
      <c r="E72" s="131" t="s">
        <v>52</v>
      </c>
      <c r="F72" s="144" t="s">
        <v>28</v>
      </c>
      <c r="G72" s="144">
        <v>20</v>
      </c>
      <c r="H72" s="144" t="s">
        <v>36</v>
      </c>
      <c r="I72" s="14" t="s">
        <v>150</v>
      </c>
      <c r="J72" s="144" t="s">
        <v>55</v>
      </c>
      <c r="K72" s="141">
        <f>((9.3*0%)+9.3)*16250</f>
        <v>151125</v>
      </c>
      <c r="L72" s="26">
        <f t="shared" si="2"/>
        <v>36270000</v>
      </c>
      <c r="M72" s="141">
        <f t="shared" si="4"/>
        <v>36270000</v>
      </c>
      <c r="N72" s="10">
        <v>1</v>
      </c>
      <c r="O72" s="32">
        <v>6</v>
      </c>
      <c r="P72" s="126" t="s">
        <v>35</v>
      </c>
      <c r="Q72" s="3">
        <v>1060168</v>
      </c>
      <c r="R72" s="4" t="s">
        <v>56</v>
      </c>
      <c r="S72" s="140">
        <v>10</v>
      </c>
      <c r="T72" s="140">
        <v>0</v>
      </c>
      <c r="U72" s="140">
        <v>17</v>
      </c>
      <c r="V72" s="140" t="s">
        <v>55</v>
      </c>
      <c r="W72" s="140" t="s">
        <v>52</v>
      </c>
      <c r="X72" s="9">
        <v>40725</v>
      </c>
      <c r="Y72" s="9" t="s">
        <v>60</v>
      </c>
      <c r="Z72" s="141">
        <f>(((9.3*0%)+9.3)*16250)*S72*12</f>
        <v>18135000</v>
      </c>
    </row>
    <row r="73" spans="1:26" ht="114.75" x14ac:dyDescent="0.25">
      <c r="A73" s="177">
        <v>6</v>
      </c>
      <c r="B73" s="156">
        <v>5515</v>
      </c>
      <c r="C73" s="126" t="s">
        <v>25</v>
      </c>
      <c r="D73" s="126" t="s">
        <v>26</v>
      </c>
      <c r="E73" s="123" t="s">
        <v>52</v>
      </c>
      <c r="F73" s="136" t="s">
        <v>28</v>
      </c>
      <c r="G73" s="136">
        <v>20</v>
      </c>
      <c r="H73" s="136" t="s">
        <v>29</v>
      </c>
      <c r="I73" s="146" t="s">
        <v>151</v>
      </c>
      <c r="J73" s="146" t="s">
        <v>32</v>
      </c>
      <c r="K73" s="25">
        <f>(((4.5*(0+192)%)+4.5)+((10.5*0%)+10.5))*16250</f>
        <v>384150</v>
      </c>
      <c r="L73" s="25">
        <f t="shared" si="2"/>
        <v>92196000</v>
      </c>
      <c r="M73" s="26">
        <f t="shared" si="4"/>
        <v>92196000</v>
      </c>
      <c r="N73" s="10">
        <v>1</v>
      </c>
      <c r="O73" s="131">
        <v>6</v>
      </c>
      <c r="P73" s="160"/>
      <c r="Q73" s="123"/>
      <c r="R73" s="40" t="s">
        <v>157</v>
      </c>
      <c r="S73" s="123"/>
      <c r="T73" s="25"/>
      <c r="U73" s="25"/>
      <c r="V73" s="25"/>
      <c r="W73" s="123"/>
      <c r="X73" s="41"/>
      <c r="Y73" s="41"/>
      <c r="Z73" s="26"/>
    </row>
    <row r="74" spans="1:26" ht="89.25" x14ac:dyDescent="0.25">
      <c r="A74" s="121">
        <v>6</v>
      </c>
      <c r="B74" s="156">
        <f>B73</f>
        <v>5515</v>
      </c>
      <c r="C74" s="121" t="s">
        <v>34</v>
      </c>
      <c r="D74" s="121" t="s">
        <v>35</v>
      </c>
      <c r="E74" s="131" t="s">
        <v>52</v>
      </c>
      <c r="F74" s="144" t="s">
        <v>28</v>
      </c>
      <c r="G74" s="144">
        <v>20</v>
      </c>
      <c r="H74" s="144" t="s">
        <v>36</v>
      </c>
      <c r="I74" s="146" t="s">
        <v>151</v>
      </c>
      <c r="J74" s="14" t="s">
        <v>32</v>
      </c>
      <c r="K74" s="141">
        <f>((9.3*0%)+9.3)*16250</f>
        <v>151125</v>
      </c>
      <c r="L74" s="26">
        <f t="shared" si="2"/>
        <v>36270000</v>
      </c>
      <c r="M74" s="141">
        <f t="shared" si="4"/>
        <v>36270000</v>
      </c>
      <c r="N74" s="10">
        <v>1</v>
      </c>
      <c r="O74" s="131">
        <v>6</v>
      </c>
      <c r="P74" s="39"/>
      <c r="Q74" s="123"/>
      <c r="R74" s="40" t="s">
        <v>158</v>
      </c>
      <c r="S74" s="123"/>
      <c r="T74" s="25"/>
      <c r="U74" s="25"/>
      <c r="V74" s="25"/>
      <c r="W74" s="123"/>
      <c r="X74" s="152"/>
      <c r="Y74" s="152"/>
      <c r="Z74" s="141"/>
    </row>
    <row r="75" spans="1:26" ht="38.25" customHeight="1" x14ac:dyDescent="0.25">
      <c r="A75" s="123">
        <v>7</v>
      </c>
      <c r="B75" s="156">
        <f>B73+1</f>
        <v>5516</v>
      </c>
      <c r="C75" s="123" t="s">
        <v>25</v>
      </c>
      <c r="D75" s="123" t="s">
        <v>46</v>
      </c>
      <c r="E75" s="123" t="s">
        <v>76</v>
      </c>
      <c r="F75" s="136" t="s">
        <v>77</v>
      </c>
      <c r="G75" s="136">
        <v>20</v>
      </c>
      <c r="H75" s="136" t="s">
        <v>29</v>
      </c>
      <c r="I75" s="123" t="s">
        <v>148</v>
      </c>
      <c r="J75" s="136" t="s">
        <v>32</v>
      </c>
      <c r="K75" s="25">
        <f>(((4.5*(0+192+0)%)+4.5)+((10.5*(0+90)%)+10.5))*16250</f>
        <v>537712.5</v>
      </c>
      <c r="L75" s="25">
        <f>K75*G75*12</f>
        <v>129051000</v>
      </c>
      <c r="M75" s="25">
        <f t="shared" si="4"/>
        <v>129051000</v>
      </c>
      <c r="N75" s="136">
        <v>1</v>
      </c>
      <c r="O75" s="123">
        <v>7</v>
      </c>
      <c r="P75" s="264" t="s">
        <v>134</v>
      </c>
      <c r="Q75" s="264">
        <v>1070316</v>
      </c>
      <c r="R75" s="266" t="s">
        <v>78</v>
      </c>
      <c r="S75" s="264">
        <v>26</v>
      </c>
      <c r="T75" s="264">
        <v>0</v>
      </c>
      <c r="U75" s="264">
        <v>6</v>
      </c>
      <c r="V75" s="264" t="s">
        <v>32</v>
      </c>
      <c r="W75" s="264" t="s">
        <v>76</v>
      </c>
      <c r="X75" s="254">
        <v>41229</v>
      </c>
      <c r="Y75" s="254" t="s">
        <v>60</v>
      </c>
      <c r="Z75" s="296">
        <v>164572200</v>
      </c>
    </row>
    <row r="76" spans="1:26" ht="38.25" x14ac:dyDescent="0.25">
      <c r="A76" s="131">
        <v>7</v>
      </c>
      <c r="B76" s="136">
        <f>B75</f>
        <v>5516</v>
      </c>
      <c r="C76" s="131" t="s">
        <v>34</v>
      </c>
      <c r="D76" s="131" t="s">
        <v>35</v>
      </c>
      <c r="E76" s="131" t="s">
        <v>76</v>
      </c>
      <c r="F76" s="144" t="s">
        <v>77</v>
      </c>
      <c r="G76" s="144">
        <v>20</v>
      </c>
      <c r="H76" s="144" t="s">
        <v>36</v>
      </c>
      <c r="I76" s="131" t="s">
        <v>148</v>
      </c>
      <c r="J76" s="144" t="s">
        <v>32</v>
      </c>
      <c r="K76" s="141">
        <f>((9.3*0%)+9.3)*16250</f>
        <v>151125</v>
      </c>
      <c r="L76" s="26">
        <f t="shared" ref="L76:L111" si="5">K76*G76*12</f>
        <v>36270000</v>
      </c>
      <c r="M76" s="25">
        <f t="shared" ref="M76:M100" si="6">L76*N76</f>
        <v>36270000</v>
      </c>
      <c r="N76" s="144">
        <v>1</v>
      </c>
      <c r="O76" s="131">
        <v>7</v>
      </c>
      <c r="P76" s="309"/>
      <c r="Q76" s="265"/>
      <c r="R76" s="267"/>
      <c r="S76" s="265"/>
      <c r="T76" s="265"/>
      <c r="U76" s="265"/>
      <c r="V76" s="265"/>
      <c r="W76" s="265"/>
      <c r="X76" s="255"/>
      <c r="Y76" s="255"/>
      <c r="Z76" s="296"/>
    </row>
    <row r="77" spans="1:26" ht="38.25" x14ac:dyDescent="0.25">
      <c r="A77" s="131">
        <v>7</v>
      </c>
      <c r="B77" s="156">
        <f>B75+1</f>
        <v>5517</v>
      </c>
      <c r="C77" s="131" t="s">
        <v>25</v>
      </c>
      <c r="D77" s="131" t="s">
        <v>26</v>
      </c>
      <c r="E77" s="131" t="s">
        <v>79</v>
      </c>
      <c r="F77" s="144" t="s">
        <v>77</v>
      </c>
      <c r="G77" s="144">
        <v>20</v>
      </c>
      <c r="H77" s="144" t="s">
        <v>29</v>
      </c>
      <c r="I77" s="131" t="s">
        <v>265</v>
      </c>
      <c r="J77" s="144" t="s">
        <v>30</v>
      </c>
      <c r="K77" s="21">
        <f>(((4.5*(0+192)%)+4.5)+((10.5*0%)+10.5))*16250</f>
        <v>384150</v>
      </c>
      <c r="L77" s="26">
        <f t="shared" si="5"/>
        <v>92196000</v>
      </c>
      <c r="M77" s="25">
        <f t="shared" si="6"/>
        <v>92196000</v>
      </c>
      <c r="N77" s="144">
        <v>1</v>
      </c>
      <c r="O77" s="131">
        <v>7</v>
      </c>
      <c r="P77" s="7" t="s">
        <v>26</v>
      </c>
      <c r="Q77" s="131">
        <v>1070372</v>
      </c>
      <c r="R77" s="2" t="s">
        <v>80</v>
      </c>
      <c r="S77" s="131">
        <v>20</v>
      </c>
      <c r="T77" s="131"/>
      <c r="U77" s="131"/>
      <c r="V77" s="131"/>
      <c r="W77" s="131" t="s">
        <v>81</v>
      </c>
      <c r="X77" s="153">
        <v>42240</v>
      </c>
      <c r="Y77" s="153" t="s">
        <v>276</v>
      </c>
      <c r="Z77" s="26">
        <v>92196000</v>
      </c>
    </row>
    <row r="78" spans="1:26" ht="38.25" x14ac:dyDescent="0.25">
      <c r="A78" s="131">
        <v>7</v>
      </c>
      <c r="B78" s="144">
        <f>B77</f>
        <v>5517</v>
      </c>
      <c r="C78" s="131" t="s">
        <v>34</v>
      </c>
      <c r="D78" s="131" t="s">
        <v>35</v>
      </c>
      <c r="E78" s="131" t="s">
        <v>79</v>
      </c>
      <c r="F78" s="144" t="s">
        <v>77</v>
      </c>
      <c r="G78" s="144">
        <v>20</v>
      </c>
      <c r="H78" s="144" t="s">
        <v>36</v>
      </c>
      <c r="I78" s="131" t="s">
        <v>265</v>
      </c>
      <c r="J78" s="144" t="s">
        <v>30</v>
      </c>
      <c r="K78" s="141">
        <f>((9.3*0%)+9.3)*16250</f>
        <v>151125</v>
      </c>
      <c r="L78" s="26">
        <f t="shared" si="5"/>
        <v>36270000</v>
      </c>
      <c r="M78" s="25">
        <f t="shared" si="6"/>
        <v>36270000</v>
      </c>
      <c r="N78" s="144">
        <v>1</v>
      </c>
      <c r="O78" s="131">
        <v>7</v>
      </c>
      <c r="P78" s="1" t="s">
        <v>35</v>
      </c>
      <c r="Q78" s="131">
        <v>1070373</v>
      </c>
      <c r="R78" s="2" t="s">
        <v>82</v>
      </c>
      <c r="S78" s="131">
        <v>20</v>
      </c>
      <c r="T78" s="131"/>
      <c r="U78" s="131"/>
      <c r="V78" s="131"/>
      <c r="W78" s="131" t="s">
        <v>81</v>
      </c>
      <c r="X78" s="153">
        <v>42240</v>
      </c>
      <c r="Y78" s="153" t="s">
        <v>276</v>
      </c>
      <c r="Z78" s="26">
        <v>36270000</v>
      </c>
    </row>
    <row r="79" spans="1:26" ht="38.25" x14ac:dyDescent="0.25">
      <c r="A79" s="131">
        <v>7</v>
      </c>
      <c r="B79" s="156">
        <f>B77+1</f>
        <v>5518</v>
      </c>
      <c r="C79" s="131" t="s">
        <v>25</v>
      </c>
      <c r="D79" s="131" t="s">
        <v>26</v>
      </c>
      <c r="E79" s="131" t="s">
        <v>83</v>
      </c>
      <c r="F79" s="144" t="s">
        <v>77</v>
      </c>
      <c r="G79" s="144">
        <v>20</v>
      </c>
      <c r="H79" s="144" t="s">
        <v>29</v>
      </c>
      <c r="I79" s="131" t="s">
        <v>152</v>
      </c>
      <c r="J79" s="144" t="s">
        <v>30</v>
      </c>
      <c r="K79" s="21">
        <f>(((4.5*(0+192)%)+4.5)+((10.5*0%)+10.5))*16250</f>
        <v>384150</v>
      </c>
      <c r="L79" s="26">
        <f t="shared" si="5"/>
        <v>92196000</v>
      </c>
      <c r="M79" s="25">
        <f t="shared" si="6"/>
        <v>92196000</v>
      </c>
      <c r="N79" s="144">
        <v>1</v>
      </c>
      <c r="O79" s="131">
        <v>7</v>
      </c>
      <c r="P79" s="7" t="s">
        <v>26</v>
      </c>
      <c r="Q79" s="131">
        <v>1070333</v>
      </c>
      <c r="R79" s="2" t="s">
        <v>84</v>
      </c>
      <c r="S79" s="131">
        <v>20</v>
      </c>
      <c r="T79" s="131"/>
      <c r="U79" s="131"/>
      <c r="V79" s="131"/>
      <c r="W79" s="131" t="s">
        <v>85</v>
      </c>
      <c r="X79" s="153">
        <v>41631</v>
      </c>
      <c r="Y79" s="153" t="s">
        <v>276</v>
      </c>
      <c r="Z79" s="26">
        <v>92196000</v>
      </c>
    </row>
    <row r="80" spans="1:26" ht="38.25" x14ac:dyDescent="0.25">
      <c r="A80" s="131">
        <v>7</v>
      </c>
      <c r="B80" s="144">
        <f>B79</f>
        <v>5518</v>
      </c>
      <c r="C80" s="131" t="s">
        <v>34</v>
      </c>
      <c r="D80" s="131" t="s">
        <v>35</v>
      </c>
      <c r="E80" s="131" t="s">
        <v>83</v>
      </c>
      <c r="F80" s="144" t="s">
        <v>77</v>
      </c>
      <c r="G80" s="144">
        <v>20</v>
      </c>
      <c r="H80" s="144" t="s">
        <v>36</v>
      </c>
      <c r="I80" s="131" t="s">
        <v>152</v>
      </c>
      <c r="J80" s="144" t="s">
        <v>30</v>
      </c>
      <c r="K80" s="141">
        <f>((9.3*0%)+9.3)*16250</f>
        <v>151125</v>
      </c>
      <c r="L80" s="26">
        <f t="shared" si="5"/>
        <v>36270000</v>
      </c>
      <c r="M80" s="25">
        <f t="shared" si="6"/>
        <v>36270000</v>
      </c>
      <c r="N80" s="144">
        <v>1</v>
      </c>
      <c r="O80" s="131">
        <v>7</v>
      </c>
      <c r="P80" s="1" t="s">
        <v>35</v>
      </c>
      <c r="Q80" s="131">
        <v>1070334</v>
      </c>
      <c r="R80" s="2" t="s">
        <v>86</v>
      </c>
      <c r="S80" s="131">
        <v>20</v>
      </c>
      <c r="T80" s="131"/>
      <c r="U80" s="131"/>
      <c r="V80" s="131"/>
      <c r="W80" s="131" t="s">
        <v>85</v>
      </c>
      <c r="X80" s="153">
        <v>41631</v>
      </c>
      <c r="Y80" s="153" t="s">
        <v>276</v>
      </c>
      <c r="Z80" s="26">
        <v>36270000</v>
      </c>
    </row>
    <row r="81" spans="1:26" ht="63.75" x14ac:dyDescent="0.25">
      <c r="A81" s="131">
        <v>7</v>
      </c>
      <c r="B81" s="156">
        <f>B79+1</f>
        <v>5519</v>
      </c>
      <c r="C81" s="131" t="s">
        <v>25</v>
      </c>
      <c r="D81" s="131" t="s">
        <v>26</v>
      </c>
      <c r="E81" s="131" t="s">
        <v>87</v>
      </c>
      <c r="F81" s="144" t="s">
        <v>77</v>
      </c>
      <c r="G81" s="144">
        <v>40</v>
      </c>
      <c r="H81" s="144" t="s">
        <v>33</v>
      </c>
      <c r="I81" s="131" t="s">
        <v>152</v>
      </c>
      <c r="J81" s="144" t="s">
        <v>30</v>
      </c>
      <c r="K81" s="21">
        <f>(((4.5*(14+192+7)%)+4.5)+((10.5*14%)+10.5))*16250</f>
        <v>423393.75</v>
      </c>
      <c r="L81" s="26">
        <f t="shared" si="5"/>
        <v>203229000</v>
      </c>
      <c r="M81" s="25">
        <f t="shared" si="6"/>
        <v>203229000</v>
      </c>
      <c r="N81" s="144">
        <v>1</v>
      </c>
      <c r="O81" s="131">
        <v>7</v>
      </c>
      <c r="P81" s="7" t="s">
        <v>26</v>
      </c>
      <c r="Q81" s="131">
        <v>1070500</v>
      </c>
      <c r="R81" s="2" t="s">
        <v>88</v>
      </c>
      <c r="S81" s="131">
        <v>40</v>
      </c>
      <c r="T81" s="131">
        <v>2</v>
      </c>
      <c r="U81" s="131">
        <v>18</v>
      </c>
      <c r="V81" s="153" t="s">
        <v>30</v>
      </c>
      <c r="W81" s="131" t="s">
        <v>87</v>
      </c>
      <c r="X81" s="153">
        <v>43134</v>
      </c>
      <c r="Y81" s="153">
        <v>43680</v>
      </c>
      <c r="Z81" s="26">
        <v>195858000.00000003</v>
      </c>
    </row>
    <row r="82" spans="1:26" ht="63.75" x14ac:dyDescent="0.25">
      <c r="A82" s="131">
        <v>7</v>
      </c>
      <c r="B82" s="144">
        <f>B81</f>
        <v>5519</v>
      </c>
      <c r="C82" s="131" t="s">
        <v>34</v>
      </c>
      <c r="D82" s="131" t="s">
        <v>35</v>
      </c>
      <c r="E82" s="131" t="s">
        <v>87</v>
      </c>
      <c r="F82" s="144" t="s">
        <v>77</v>
      </c>
      <c r="G82" s="144">
        <v>40</v>
      </c>
      <c r="H82" s="144" t="s">
        <v>36</v>
      </c>
      <c r="I82" s="131" t="s">
        <v>152</v>
      </c>
      <c r="J82" s="144" t="s">
        <v>30</v>
      </c>
      <c r="K82" s="141">
        <f>((9.3*14%)+9.3)*16250</f>
        <v>172282.5</v>
      </c>
      <c r="L82" s="26">
        <f t="shared" si="5"/>
        <v>82695600</v>
      </c>
      <c r="M82" s="25">
        <f t="shared" si="6"/>
        <v>82695600</v>
      </c>
      <c r="N82" s="144">
        <v>1</v>
      </c>
      <c r="O82" s="131">
        <v>7</v>
      </c>
      <c r="P82" s="1" t="s">
        <v>35</v>
      </c>
      <c r="Q82" s="131">
        <v>1070501</v>
      </c>
      <c r="R82" s="2" t="s">
        <v>89</v>
      </c>
      <c r="S82" s="131">
        <v>40</v>
      </c>
      <c r="T82" s="131">
        <v>2</v>
      </c>
      <c r="U82" s="131">
        <v>18</v>
      </c>
      <c r="V82" s="153" t="s">
        <v>30</v>
      </c>
      <c r="W82" s="131" t="s">
        <v>87</v>
      </c>
      <c r="X82" s="153">
        <v>43081</v>
      </c>
      <c r="Y82" s="153">
        <v>43680</v>
      </c>
      <c r="Z82" s="141">
        <v>82695600</v>
      </c>
    </row>
    <row r="83" spans="1:26" ht="76.5" x14ac:dyDescent="0.25">
      <c r="A83" s="131">
        <v>7</v>
      </c>
      <c r="B83" s="156">
        <f>B81+1</f>
        <v>5520</v>
      </c>
      <c r="C83" s="131" t="s">
        <v>25</v>
      </c>
      <c r="D83" s="131" t="s">
        <v>26</v>
      </c>
      <c r="E83" s="131" t="s">
        <v>81</v>
      </c>
      <c r="F83" s="144" t="s">
        <v>77</v>
      </c>
      <c r="G83" s="144">
        <v>20</v>
      </c>
      <c r="H83" s="144" t="s">
        <v>29</v>
      </c>
      <c r="I83" s="131" t="s">
        <v>152</v>
      </c>
      <c r="J83" s="144" t="s">
        <v>55</v>
      </c>
      <c r="K83" s="21">
        <f>(((4.5*(0+192)%)+4.5)+((10.5*0%)+10.5))*16250</f>
        <v>384150</v>
      </c>
      <c r="L83" s="26">
        <f t="shared" si="5"/>
        <v>92196000</v>
      </c>
      <c r="M83" s="25">
        <f t="shared" si="6"/>
        <v>92196000</v>
      </c>
      <c r="N83" s="144">
        <v>1</v>
      </c>
      <c r="O83" s="131">
        <v>7</v>
      </c>
      <c r="P83" s="7" t="s">
        <v>128</v>
      </c>
      <c r="Q83" s="131">
        <v>1070234</v>
      </c>
      <c r="R83" s="2" t="s">
        <v>90</v>
      </c>
      <c r="S83" s="131">
        <v>18</v>
      </c>
      <c r="T83" s="131">
        <v>6</v>
      </c>
      <c r="U83" s="131">
        <v>18</v>
      </c>
      <c r="V83" s="153" t="s">
        <v>55</v>
      </c>
      <c r="W83" s="131" t="s">
        <v>81</v>
      </c>
      <c r="X83" s="153">
        <v>40269</v>
      </c>
      <c r="Y83" s="153" t="s">
        <v>60</v>
      </c>
      <c r="Z83" s="26">
        <v>82976400</v>
      </c>
    </row>
    <row r="84" spans="1:26" ht="38.25" x14ac:dyDescent="0.25">
      <c r="A84" s="131">
        <v>7</v>
      </c>
      <c r="B84" s="144">
        <f>B83</f>
        <v>5520</v>
      </c>
      <c r="C84" s="131" t="s">
        <v>34</v>
      </c>
      <c r="D84" s="131" t="s">
        <v>35</v>
      </c>
      <c r="E84" s="131" t="s">
        <v>81</v>
      </c>
      <c r="F84" s="144" t="s">
        <v>77</v>
      </c>
      <c r="G84" s="144">
        <v>20</v>
      </c>
      <c r="H84" s="144" t="s">
        <v>36</v>
      </c>
      <c r="I84" s="131" t="s">
        <v>152</v>
      </c>
      <c r="J84" s="144" t="s">
        <v>55</v>
      </c>
      <c r="K84" s="141">
        <f>((9.3*0%)+9.3)*16250</f>
        <v>151125</v>
      </c>
      <c r="L84" s="26">
        <f t="shared" si="5"/>
        <v>36270000</v>
      </c>
      <c r="M84" s="25">
        <f t="shared" si="6"/>
        <v>36270000</v>
      </c>
      <c r="N84" s="144">
        <v>1</v>
      </c>
      <c r="O84" s="131">
        <v>7</v>
      </c>
      <c r="P84" s="131"/>
      <c r="Q84" s="304" t="s">
        <v>281</v>
      </c>
      <c r="R84" s="304"/>
      <c r="S84" s="304"/>
      <c r="T84" s="304"/>
      <c r="U84" s="304"/>
      <c r="V84" s="304"/>
      <c r="W84" s="304"/>
      <c r="X84" s="304"/>
      <c r="Y84" s="304"/>
      <c r="Z84" s="26">
        <f>L84</f>
        <v>36270000</v>
      </c>
    </row>
    <row r="85" spans="1:26" ht="38.25" x14ac:dyDescent="0.25">
      <c r="A85" s="131">
        <v>7</v>
      </c>
      <c r="B85" s="156">
        <f>B83+1</f>
        <v>5521</v>
      </c>
      <c r="C85" s="131" t="s">
        <v>25</v>
      </c>
      <c r="D85" s="131" t="s">
        <v>26</v>
      </c>
      <c r="E85" s="131" t="s">
        <v>91</v>
      </c>
      <c r="F85" s="144" t="s">
        <v>77</v>
      </c>
      <c r="G85" s="144">
        <v>20</v>
      </c>
      <c r="H85" s="144" t="s">
        <v>29</v>
      </c>
      <c r="I85" s="131" t="s">
        <v>152</v>
      </c>
      <c r="J85" s="144" t="s">
        <v>32</v>
      </c>
      <c r="K85" s="21">
        <f>(((4.5*(0+192)%)+4.5)+((10.5*0%)+10.5))*16250</f>
        <v>384150</v>
      </c>
      <c r="L85" s="26">
        <f t="shared" si="5"/>
        <v>92196000</v>
      </c>
      <c r="M85" s="25">
        <f t="shared" si="6"/>
        <v>92196000</v>
      </c>
      <c r="N85" s="144">
        <v>1</v>
      </c>
      <c r="O85" s="301">
        <v>7</v>
      </c>
      <c r="P85" s="264" t="s">
        <v>128</v>
      </c>
      <c r="Q85" s="264">
        <v>1070293</v>
      </c>
      <c r="R85" s="266" t="s">
        <v>92</v>
      </c>
      <c r="S85" s="264">
        <v>30</v>
      </c>
      <c r="T85" s="264">
        <v>0</v>
      </c>
      <c r="U85" s="264">
        <v>18</v>
      </c>
      <c r="V85" s="254" t="s">
        <v>32</v>
      </c>
      <c r="W85" s="264" t="s">
        <v>91</v>
      </c>
      <c r="X85" s="308">
        <v>41010</v>
      </c>
      <c r="Y85" s="308" t="s">
        <v>60</v>
      </c>
      <c r="Z85" s="296">
        <v>136451250</v>
      </c>
    </row>
    <row r="86" spans="1:26" ht="38.25" x14ac:dyDescent="0.25">
      <c r="A86" s="131">
        <v>7</v>
      </c>
      <c r="B86" s="144">
        <f>B85</f>
        <v>5521</v>
      </c>
      <c r="C86" s="131" t="s">
        <v>34</v>
      </c>
      <c r="D86" s="131" t="s">
        <v>35</v>
      </c>
      <c r="E86" s="131" t="s">
        <v>91</v>
      </c>
      <c r="F86" s="144" t="s">
        <v>77</v>
      </c>
      <c r="G86" s="144">
        <v>20</v>
      </c>
      <c r="H86" s="144" t="s">
        <v>36</v>
      </c>
      <c r="I86" s="131" t="s">
        <v>152</v>
      </c>
      <c r="J86" s="144" t="s">
        <v>32</v>
      </c>
      <c r="K86" s="141">
        <f>((9.3*0%)+9.3)*16250</f>
        <v>151125</v>
      </c>
      <c r="L86" s="26">
        <f t="shared" si="5"/>
        <v>36270000</v>
      </c>
      <c r="M86" s="25">
        <f t="shared" si="6"/>
        <v>36270000</v>
      </c>
      <c r="N86" s="144">
        <v>1</v>
      </c>
      <c r="O86" s="301"/>
      <c r="P86" s="309"/>
      <c r="Q86" s="265"/>
      <c r="R86" s="267"/>
      <c r="S86" s="265"/>
      <c r="T86" s="265"/>
      <c r="U86" s="265"/>
      <c r="V86" s="255"/>
      <c r="W86" s="265"/>
      <c r="X86" s="308"/>
      <c r="Y86" s="308"/>
      <c r="Z86" s="296"/>
    </row>
    <row r="87" spans="1:26" ht="63.75" x14ac:dyDescent="0.25">
      <c r="A87" s="131">
        <v>7</v>
      </c>
      <c r="B87" s="156">
        <f>B85+1</f>
        <v>5522</v>
      </c>
      <c r="C87" s="131" t="s">
        <v>25</v>
      </c>
      <c r="D87" s="131" t="s">
        <v>26</v>
      </c>
      <c r="E87" s="131" t="s">
        <v>93</v>
      </c>
      <c r="F87" s="131" t="s">
        <v>269</v>
      </c>
      <c r="G87" s="144">
        <v>20</v>
      </c>
      <c r="H87" s="144" t="s">
        <v>29</v>
      </c>
      <c r="I87" s="131" t="s">
        <v>152</v>
      </c>
      <c r="J87" s="144" t="s">
        <v>55</v>
      </c>
      <c r="K87" s="21">
        <f>(((4.5*(0+192)%)+4.5)+((10.5*0%)+10.5))*16250</f>
        <v>384150</v>
      </c>
      <c r="L87" s="26">
        <f t="shared" si="5"/>
        <v>92196000</v>
      </c>
      <c r="M87" s="25">
        <f t="shared" si="6"/>
        <v>92196000</v>
      </c>
      <c r="N87" s="144">
        <v>1</v>
      </c>
      <c r="O87" s="131">
        <v>7</v>
      </c>
      <c r="P87" s="7" t="s">
        <v>128</v>
      </c>
      <c r="Q87" s="131">
        <v>1070308</v>
      </c>
      <c r="R87" s="2" t="s">
        <v>94</v>
      </c>
      <c r="S87" s="131">
        <v>25</v>
      </c>
      <c r="T87" s="131">
        <v>6</v>
      </c>
      <c r="U87" s="131">
        <v>18</v>
      </c>
      <c r="V87" s="153" t="s">
        <v>55</v>
      </c>
      <c r="W87" s="131" t="s">
        <v>93</v>
      </c>
      <c r="X87" s="153">
        <v>41229</v>
      </c>
      <c r="Y87" s="153" t="s">
        <v>60</v>
      </c>
      <c r="Z87" s="26">
        <v>113709375</v>
      </c>
    </row>
    <row r="88" spans="1:26" ht="63.75" x14ac:dyDescent="0.25">
      <c r="A88" s="131">
        <v>7</v>
      </c>
      <c r="B88" s="144">
        <f>B87</f>
        <v>5522</v>
      </c>
      <c r="C88" s="131" t="s">
        <v>34</v>
      </c>
      <c r="D88" s="131" t="s">
        <v>35</v>
      </c>
      <c r="E88" s="131" t="s">
        <v>93</v>
      </c>
      <c r="F88" s="131" t="s">
        <v>269</v>
      </c>
      <c r="G88" s="144">
        <v>20</v>
      </c>
      <c r="H88" s="144" t="s">
        <v>36</v>
      </c>
      <c r="I88" s="131" t="s">
        <v>152</v>
      </c>
      <c r="J88" s="144" t="s">
        <v>55</v>
      </c>
      <c r="K88" s="141">
        <f>((9.3*0%)+9.3)*16250</f>
        <v>151125</v>
      </c>
      <c r="L88" s="26">
        <f t="shared" si="5"/>
        <v>36270000</v>
      </c>
      <c r="M88" s="25">
        <f t="shared" si="6"/>
        <v>36270000</v>
      </c>
      <c r="N88" s="144">
        <v>1</v>
      </c>
      <c r="O88" s="131">
        <v>7</v>
      </c>
      <c r="P88" s="131"/>
      <c r="Q88" s="304" t="s">
        <v>280</v>
      </c>
      <c r="R88" s="304"/>
      <c r="S88" s="304"/>
      <c r="T88" s="304"/>
      <c r="U88" s="304"/>
      <c r="V88" s="304"/>
      <c r="W88" s="304"/>
      <c r="X88" s="304"/>
      <c r="Y88" s="304"/>
      <c r="Z88" s="26">
        <f>L88</f>
        <v>36270000</v>
      </c>
    </row>
    <row r="89" spans="1:26" ht="51" x14ac:dyDescent="0.25">
      <c r="A89" s="131">
        <v>7</v>
      </c>
      <c r="B89" s="156">
        <f>B87+1</f>
        <v>5523</v>
      </c>
      <c r="C89" s="131" t="s">
        <v>25</v>
      </c>
      <c r="D89" s="131" t="s">
        <v>26</v>
      </c>
      <c r="E89" s="131" t="s">
        <v>95</v>
      </c>
      <c r="F89" s="144" t="s">
        <v>77</v>
      </c>
      <c r="G89" s="144">
        <v>20</v>
      </c>
      <c r="H89" s="144" t="s">
        <v>29</v>
      </c>
      <c r="I89" s="14" t="s">
        <v>151</v>
      </c>
      <c r="J89" s="144" t="s">
        <v>55</v>
      </c>
      <c r="K89" s="21">
        <f>(((4.5*(0+192)%)+4.5)+((10.5*0%)+10.5))*16250</f>
        <v>384150</v>
      </c>
      <c r="L89" s="26">
        <f t="shared" si="5"/>
        <v>92196000</v>
      </c>
      <c r="M89" s="25">
        <f t="shared" si="6"/>
        <v>92196000</v>
      </c>
      <c r="N89" s="144">
        <v>1</v>
      </c>
      <c r="O89" s="131">
        <v>7</v>
      </c>
      <c r="P89" s="7" t="s">
        <v>128</v>
      </c>
      <c r="Q89" s="131">
        <v>1070309</v>
      </c>
      <c r="R89" s="2" t="s">
        <v>96</v>
      </c>
      <c r="S89" s="131">
        <v>25</v>
      </c>
      <c r="T89" s="131">
        <v>6</v>
      </c>
      <c r="U89" s="131">
        <v>18</v>
      </c>
      <c r="V89" s="153" t="s">
        <v>55</v>
      </c>
      <c r="W89" s="131" t="s">
        <v>95</v>
      </c>
      <c r="X89" s="153">
        <v>41229</v>
      </c>
      <c r="Y89" s="153" t="s">
        <v>60</v>
      </c>
      <c r="Z89" s="26">
        <v>113709375</v>
      </c>
    </row>
    <row r="90" spans="1:26" ht="51" x14ac:dyDescent="0.25">
      <c r="A90" s="131">
        <v>7</v>
      </c>
      <c r="B90" s="144">
        <f>B89</f>
        <v>5523</v>
      </c>
      <c r="C90" s="131" t="s">
        <v>34</v>
      </c>
      <c r="D90" s="131" t="s">
        <v>35</v>
      </c>
      <c r="E90" s="131" t="s">
        <v>95</v>
      </c>
      <c r="F90" s="144" t="s">
        <v>77</v>
      </c>
      <c r="G90" s="144">
        <v>20</v>
      </c>
      <c r="H90" s="144" t="s">
        <v>36</v>
      </c>
      <c r="I90" s="14" t="s">
        <v>151</v>
      </c>
      <c r="J90" s="144" t="s">
        <v>55</v>
      </c>
      <c r="K90" s="141">
        <f>((9.3*0%)+9.3)*16250</f>
        <v>151125</v>
      </c>
      <c r="L90" s="26">
        <f t="shared" si="5"/>
        <v>36270000</v>
      </c>
      <c r="M90" s="25">
        <f t="shared" si="6"/>
        <v>36270000</v>
      </c>
      <c r="N90" s="144">
        <v>1</v>
      </c>
      <c r="O90" s="131">
        <v>7</v>
      </c>
      <c r="P90" s="1" t="s">
        <v>35</v>
      </c>
      <c r="Q90" s="131">
        <v>1070362</v>
      </c>
      <c r="R90" s="2" t="s">
        <v>97</v>
      </c>
      <c r="S90" s="131">
        <v>20</v>
      </c>
      <c r="T90" s="131">
        <v>0</v>
      </c>
      <c r="U90" s="131">
        <v>18</v>
      </c>
      <c r="V90" s="131" t="s">
        <v>55</v>
      </c>
      <c r="W90" s="131" t="s">
        <v>95</v>
      </c>
      <c r="X90" s="153">
        <v>41957</v>
      </c>
      <c r="Y90" s="153" t="s">
        <v>60</v>
      </c>
      <c r="Z90" s="141">
        <v>36270000</v>
      </c>
    </row>
    <row r="91" spans="1:26" ht="76.5" x14ac:dyDescent="0.25">
      <c r="A91" s="131">
        <v>7</v>
      </c>
      <c r="B91" s="156">
        <f>B89+1</f>
        <v>5524</v>
      </c>
      <c r="C91" s="131" t="s">
        <v>25</v>
      </c>
      <c r="D91" s="131" t="s">
        <v>46</v>
      </c>
      <c r="E91" s="131" t="s">
        <v>76</v>
      </c>
      <c r="F91" s="144" t="s">
        <v>77</v>
      </c>
      <c r="G91" s="144">
        <v>20</v>
      </c>
      <c r="H91" s="144" t="s">
        <v>29</v>
      </c>
      <c r="I91" s="131" t="s">
        <v>148</v>
      </c>
      <c r="J91" s="144" t="s">
        <v>32</v>
      </c>
      <c r="K91" s="26">
        <f>(((4.5*(0+192+0)%)+4.5)+((10.5*(0+90)%)+10.5))*16250</f>
        <v>537712.5</v>
      </c>
      <c r="L91" s="26">
        <f t="shared" si="5"/>
        <v>129051000</v>
      </c>
      <c r="M91" s="25">
        <f t="shared" si="6"/>
        <v>129051000</v>
      </c>
      <c r="N91" s="144">
        <v>1</v>
      </c>
      <c r="O91" s="131">
        <v>7</v>
      </c>
      <c r="P91" s="7" t="s">
        <v>46</v>
      </c>
      <c r="Q91" s="131">
        <v>1070510</v>
      </c>
      <c r="R91" s="2" t="s">
        <v>98</v>
      </c>
      <c r="S91" s="131">
        <v>26</v>
      </c>
      <c r="T91" s="131">
        <v>0</v>
      </c>
      <c r="U91" s="131">
        <v>6</v>
      </c>
      <c r="V91" s="131" t="s">
        <v>32</v>
      </c>
      <c r="W91" s="131" t="s">
        <v>76</v>
      </c>
      <c r="X91" s="153">
        <v>43081</v>
      </c>
      <c r="Y91" s="153">
        <v>43628</v>
      </c>
      <c r="Z91" s="26">
        <v>164572200</v>
      </c>
    </row>
    <row r="92" spans="1:26" ht="76.5" x14ac:dyDescent="0.25">
      <c r="A92" s="131">
        <v>7</v>
      </c>
      <c r="B92" s="144">
        <f>B91</f>
        <v>5524</v>
      </c>
      <c r="C92" s="131" t="s">
        <v>34</v>
      </c>
      <c r="D92" s="131" t="s">
        <v>35</v>
      </c>
      <c r="E92" s="131" t="s">
        <v>76</v>
      </c>
      <c r="F92" s="144" t="s">
        <v>77</v>
      </c>
      <c r="G92" s="144">
        <v>20</v>
      </c>
      <c r="H92" s="144" t="s">
        <v>36</v>
      </c>
      <c r="I92" s="131" t="s">
        <v>148</v>
      </c>
      <c r="J92" s="144" t="s">
        <v>32</v>
      </c>
      <c r="K92" s="141">
        <f>((9.3*0%)+9.3)*16250</f>
        <v>151125</v>
      </c>
      <c r="L92" s="26">
        <f t="shared" si="5"/>
        <v>36270000</v>
      </c>
      <c r="M92" s="25">
        <f t="shared" si="6"/>
        <v>36270000</v>
      </c>
      <c r="N92" s="144">
        <v>1</v>
      </c>
      <c r="O92" s="131">
        <v>7</v>
      </c>
      <c r="P92" s="1" t="s">
        <v>35</v>
      </c>
      <c r="Q92" s="131">
        <v>1070511</v>
      </c>
      <c r="R92" s="2" t="s">
        <v>99</v>
      </c>
      <c r="S92" s="131">
        <v>26</v>
      </c>
      <c r="T92" s="131">
        <v>0</v>
      </c>
      <c r="U92" s="131">
        <v>6</v>
      </c>
      <c r="V92" s="131" t="s">
        <v>32</v>
      </c>
      <c r="W92" s="131" t="s">
        <v>76</v>
      </c>
      <c r="X92" s="153">
        <v>43081</v>
      </c>
      <c r="Y92" s="153">
        <v>43628</v>
      </c>
      <c r="Z92" s="141">
        <v>47151000</v>
      </c>
    </row>
    <row r="93" spans="1:26" ht="51" x14ac:dyDescent="0.25">
      <c r="A93" s="131">
        <v>7</v>
      </c>
      <c r="B93" s="156">
        <v>5525</v>
      </c>
      <c r="C93" s="131" t="s">
        <v>25</v>
      </c>
      <c r="D93" s="131" t="s">
        <v>26</v>
      </c>
      <c r="E93" s="131" t="s">
        <v>100</v>
      </c>
      <c r="F93" s="144" t="s">
        <v>77</v>
      </c>
      <c r="G93" s="144">
        <v>12</v>
      </c>
      <c r="H93" s="144" t="s">
        <v>29</v>
      </c>
      <c r="I93" s="14" t="s">
        <v>150</v>
      </c>
      <c r="J93" s="144" t="s">
        <v>30</v>
      </c>
      <c r="K93" s="26">
        <f>(((4.5*(0+192)%)+4.5)+((10.5*0%)+10.5))*16250</f>
        <v>384150</v>
      </c>
      <c r="L93" s="26">
        <f t="shared" si="5"/>
        <v>55317600</v>
      </c>
      <c r="M93" s="25">
        <f t="shared" si="6"/>
        <v>55317600</v>
      </c>
      <c r="N93" s="144">
        <v>1</v>
      </c>
      <c r="O93" s="122">
        <v>7</v>
      </c>
      <c r="P93" s="138" t="s">
        <v>128</v>
      </c>
      <c r="Q93" s="122">
        <v>1070320</v>
      </c>
      <c r="R93" s="30" t="s">
        <v>261</v>
      </c>
      <c r="S93" s="122">
        <v>12</v>
      </c>
      <c r="T93" s="122">
        <v>6</v>
      </c>
      <c r="U93" s="122">
        <v>18</v>
      </c>
      <c r="V93" s="122" t="s">
        <v>30</v>
      </c>
      <c r="W93" s="122" t="s">
        <v>91</v>
      </c>
      <c r="X93" s="124">
        <v>41229</v>
      </c>
      <c r="Y93" s="124">
        <v>43628</v>
      </c>
      <c r="Z93" s="26">
        <v>55317600</v>
      </c>
    </row>
    <row r="94" spans="1:26" ht="51" x14ac:dyDescent="0.25">
      <c r="A94" s="131">
        <v>7</v>
      </c>
      <c r="B94" s="144">
        <f>B93</f>
        <v>5525</v>
      </c>
      <c r="C94" s="131" t="s">
        <v>34</v>
      </c>
      <c r="D94" s="131" t="s">
        <v>35</v>
      </c>
      <c r="E94" s="131" t="s">
        <v>100</v>
      </c>
      <c r="F94" s="144" t="s">
        <v>77</v>
      </c>
      <c r="G94" s="144">
        <v>12</v>
      </c>
      <c r="H94" s="144" t="s">
        <v>36</v>
      </c>
      <c r="I94" s="14" t="s">
        <v>150</v>
      </c>
      <c r="J94" s="144" t="s">
        <v>30</v>
      </c>
      <c r="K94" s="141">
        <f>((9.3*0%)+9.3)*16250</f>
        <v>151125</v>
      </c>
      <c r="L94" s="26">
        <f t="shared" si="5"/>
        <v>21762000</v>
      </c>
      <c r="M94" s="25">
        <f t="shared" si="6"/>
        <v>21762000</v>
      </c>
      <c r="N94" s="144">
        <v>1</v>
      </c>
      <c r="O94" s="305" t="s">
        <v>262</v>
      </c>
      <c r="P94" s="305"/>
      <c r="Q94" s="305"/>
      <c r="R94" s="305"/>
      <c r="S94" s="305"/>
      <c r="T94" s="305"/>
      <c r="U94" s="305"/>
      <c r="V94" s="305"/>
      <c r="W94" s="305"/>
      <c r="X94" s="305"/>
      <c r="Y94" s="305"/>
      <c r="Z94" s="26"/>
    </row>
    <row r="95" spans="1:26" ht="38.25" x14ac:dyDescent="0.25">
      <c r="A95" s="168">
        <v>8</v>
      </c>
      <c r="B95" s="10">
        <v>5526</v>
      </c>
      <c r="C95" s="1" t="s">
        <v>25</v>
      </c>
      <c r="D95" s="1" t="s">
        <v>26</v>
      </c>
      <c r="E95" s="1" t="s">
        <v>101</v>
      </c>
      <c r="F95" s="144" t="s">
        <v>28</v>
      </c>
      <c r="G95" s="144">
        <v>20</v>
      </c>
      <c r="H95" s="144" t="s">
        <v>29</v>
      </c>
      <c r="I95" s="131" t="s">
        <v>152</v>
      </c>
      <c r="J95" s="144" t="s">
        <v>30</v>
      </c>
      <c r="K95" s="26">
        <f>(((4.5*(14+192)%)+4.5)+((10.5*14%)+10.5))*16250</f>
        <v>418275.00000000006</v>
      </c>
      <c r="L95" s="26">
        <f t="shared" si="5"/>
        <v>100386000.00000001</v>
      </c>
      <c r="M95" s="25">
        <f t="shared" si="6"/>
        <v>100386000.00000001</v>
      </c>
      <c r="N95" s="144">
        <v>1</v>
      </c>
      <c r="O95" s="6">
        <v>8</v>
      </c>
      <c r="P95" s="7" t="s">
        <v>26</v>
      </c>
      <c r="Q95" s="7">
        <v>1080853</v>
      </c>
      <c r="R95" s="8" t="s">
        <v>263</v>
      </c>
      <c r="S95" s="7">
        <v>25</v>
      </c>
      <c r="T95" s="7">
        <v>6</v>
      </c>
      <c r="U95" s="7">
        <v>18</v>
      </c>
      <c r="V95" s="7" t="s">
        <v>32</v>
      </c>
      <c r="W95" s="7" t="s">
        <v>101</v>
      </c>
      <c r="X95" s="9">
        <v>42845</v>
      </c>
      <c r="Y95" s="9" t="s">
        <v>60</v>
      </c>
      <c r="Z95" s="13">
        <v>122411250.00000003</v>
      </c>
    </row>
    <row r="96" spans="1:26" ht="38.25" x14ac:dyDescent="0.25">
      <c r="A96" s="168">
        <v>8</v>
      </c>
      <c r="B96" s="10">
        <v>5526</v>
      </c>
      <c r="C96" s="1" t="s">
        <v>34</v>
      </c>
      <c r="D96" s="1" t="s">
        <v>35</v>
      </c>
      <c r="E96" s="1" t="s">
        <v>101</v>
      </c>
      <c r="F96" s="144" t="s">
        <v>28</v>
      </c>
      <c r="G96" s="144">
        <v>20</v>
      </c>
      <c r="H96" s="144" t="s">
        <v>36</v>
      </c>
      <c r="I96" s="131" t="s">
        <v>152</v>
      </c>
      <c r="J96" s="144" t="s">
        <v>30</v>
      </c>
      <c r="K96" s="141">
        <f>((9.3*14%)+9.3)*16250</f>
        <v>172282.5</v>
      </c>
      <c r="L96" s="26">
        <f t="shared" si="5"/>
        <v>41347800</v>
      </c>
      <c r="M96" s="25">
        <f t="shared" si="6"/>
        <v>41347800</v>
      </c>
      <c r="N96" s="144">
        <v>1</v>
      </c>
      <c r="O96" s="6">
        <v>8</v>
      </c>
      <c r="P96" s="7" t="s">
        <v>35</v>
      </c>
      <c r="Q96" s="7">
        <v>1080854</v>
      </c>
      <c r="R96" s="8" t="s">
        <v>264</v>
      </c>
      <c r="S96" s="7">
        <v>25</v>
      </c>
      <c r="T96" s="7">
        <v>6</v>
      </c>
      <c r="U96" s="7">
        <v>17</v>
      </c>
      <c r="V96" s="7" t="s">
        <v>32</v>
      </c>
      <c r="W96" s="7" t="s">
        <v>101</v>
      </c>
      <c r="X96" s="9">
        <v>42845</v>
      </c>
      <c r="Y96" s="9" t="s">
        <v>60</v>
      </c>
      <c r="Z96" s="141">
        <f>(((9.3*14%)+9.3)*16250)*S96*12</f>
        <v>51684750</v>
      </c>
    </row>
    <row r="97" spans="1:26" ht="38.25" x14ac:dyDescent="0.25">
      <c r="A97" s="121">
        <v>8</v>
      </c>
      <c r="B97" s="156">
        <v>5527</v>
      </c>
      <c r="C97" s="121" t="s">
        <v>25</v>
      </c>
      <c r="D97" s="131" t="s">
        <v>26</v>
      </c>
      <c r="E97" s="131" t="s">
        <v>102</v>
      </c>
      <c r="F97" s="144" t="s">
        <v>28</v>
      </c>
      <c r="G97" s="144">
        <v>15</v>
      </c>
      <c r="H97" s="144" t="s">
        <v>29</v>
      </c>
      <c r="I97" s="131" t="s">
        <v>152</v>
      </c>
      <c r="J97" s="144" t="s">
        <v>32</v>
      </c>
      <c r="K97" s="26">
        <f>(((4.5*(28+192+0)%)+4.5)+((10.5*28%)+10.5))*16250</f>
        <v>452400.00000000006</v>
      </c>
      <c r="L97" s="26">
        <f t="shared" si="5"/>
        <v>81432000.000000015</v>
      </c>
      <c r="M97" s="25">
        <f t="shared" si="6"/>
        <v>81432000.000000015</v>
      </c>
      <c r="N97" s="144">
        <v>1</v>
      </c>
      <c r="O97" s="131">
        <v>8</v>
      </c>
      <c r="P97" s="7" t="s">
        <v>26</v>
      </c>
      <c r="Q97" s="121">
        <v>1080751</v>
      </c>
      <c r="R97" s="11" t="s">
        <v>103</v>
      </c>
      <c r="S97" s="121">
        <v>29</v>
      </c>
      <c r="T97" s="121">
        <v>0</v>
      </c>
      <c r="U97" s="121">
        <v>17</v>
      </c>
      <c r="V97" s="121" t="s">
        <v>32</v>
      </c>
      <c r="W97" s="121" t="s">
        <v>102</v>
      </c>
      <c r="X97" s="128">
        <v>42278</v>
      </c>
      <c r="Y97" s="128" t="s">
        <v>60</v>
      </c>
      <c r="Z97" s="13">
        <v>153872550</v>
      </c>
    </row>
    <row r="98" spans="1:26" ht="38.25" x14ac:dyDescent="0.25">
      <c r="A98" s="121">
        <v>8</v>
      </c>
      <c r="B98" s="10">
        <f>B97</f>
        <v>5527</v>
      </c>
      <c r="C98" s="121" t="s">
        <v>34</v>
      </c>
      <c r="D98" s="131" t="s">
        <v>35</v>
      </c>
      <c r="E98" s="131" t="s">
        <v>102</v>
      </c>
      <c r="F98" s="144" t="s">
        <v>28</v>
      </c>
      <c r="G98" s="144">
        <v>15</v>
      </c>
      <c r="H98" s="144" t="s">
        <v>36</v>
      </c>
      <c r="I98" s="131" t="s">
        <v>152</v>
      </c>
      <c r="J98" s="144" t="s">
        <v>32</v>
      </c>
      <c r="K98" s="141">
        <f>((9.3*28%)+9.3)*16250</f>
        <v>193440.00000000003</v>
      </c>
      <c r="L98" s="26">
        <f t="shared" si="5"/>
        <v>34819200.000000007</v>
      </c>
      <c r="M98" s="25">
        <f t="shared" si="6"/>
        <v>34819200.000000007</v>
      </c>
      <c r="N98" s="144">
        <v>1</v>
      </c>
      <c r="O98" s="131">
        <v>8</v>
      </c>
      <c r="P98" s="1" t="s">
        <v>35</v>
      </c>
      <c r="Q98" s="121">
        <v>1080752</v>
      </c>
      <c r="R98" s="11" t="s">
        <v>104</v>
      </c>
      <c r="S98" s="121">
        <v>29</v>
      </c>
      <c r="T98" s="121">
        <v>0</v>
      </c>
      <c r="U98" s="121">
        <v>17</v>
      </c>
      <c r="V98" s="121" t="s">
        <v>32</v>
      </c>
      <c r="W98" s="121" t="s">
        <v>102</v>
      </c>
      <c r="X98" s="128">
        <v>42278</v>
      </c>
      <c r="Y98" s="128" t="s">
        <v>60</v>
      </c>
      <c r="Z98" s="141">
        <f>(((9.3*28%)+9.3)*16250)*S98*12</f>
        <v>67317120.000000015</v>
      </c>
    </row>
    <row r="99" spans="1:26" ht="38.25" customHeight="1" x14ac:dyDescent="0.25">
      <c r="A99" s="121">
        <v>8</v>
      </c>
      <c r="B99" s="156">
        <f>B97+1</f>
        <v>5528</v>
      </c>
      <c r="C99" s="121" t="s">
        <v>25</v>
      </c>
      <c r="D99" s="131" t="s">
        <v>26</v>
      </c>
      <c r="E99" s="131" t="s">
        <v>101</v>
      </c>
      <c r="F99" s="144" t="s">
        <v>28</v>
      </c>
      <c r="G99" s="144">
        <v>15</v>
      </c>
      <c r="H99" s="144" t="s">
        <v>29</v>
      </c>
      <c r="I99" s="131" t="s">
        <v>152</v>
      </c>
      <c r="J99" s="144" t="s">
        <v>30</v>
      </c>
      <c r="K99" s="26">
        <f>(((4.5*(14+192)%)+4.5)+((10.5*14%)+10.5))*16250</f>
        <v>418275.00000000006</v>
      </c>
      <c r="L99" s="26">
        <f t="shared" si="5"/>
        <v>75289500.000000015</v>
      </c>
      <c r="M99" s="25">
        <f t="shared" si="6"/>
        <v>75289500.000000015</v>
      </c>
      <c r="N99" s="10">
        <v>1</v>
      </c>
      <c r="O99" s="271">
        <v>8</v>
      </c>
      <c r="P99" s="306" t="s">
        <v>128</v>
      </c>
      <c r="Q99" s="271">
        <v>1080606</v>
      </c>
      <c r="R99" s="292" t="s">
        <v>105</v>
      </c>
      <c r="S99" s="271">
        <v>20</v>
      </c>
      <c r="T99" s="271">
        <v>6</v>
      </c>
      <c r="U99" s="271">
        <v>18</v>
      </c>
      <c r="V99" s="271" t="s">
        <v>55</v>
      </c>
      <c r="W99" s="271" t="s">
        <v>101</v>
      </c>
      <c r="X99" s="291">
        <v>41389</v>
      </c>
      <c r="Y99" s="291" t="s">
        <v>60</v>
      </c>
      <c r="Z99" s="242">
        <v>100386000</v>
      </c>
    </row>
    <row r="100" spans="1:26" ht="38.25" x14ac:dyDescent="0.25">
      <c r="A100" s="121">
        <v>8</v>
      </c>
      <c r="B100" s="10">
        <f>B99</f>
        <v>5528</v>
      </c>
      <c r="C100" s="121" t="s">
        <v>34</v>
      </c>
      <c r="D100" s="131" t="s">
        <v>35</v>
      </c>
      <c r="E100" s="131" t="s">
        <v>101</v>
      </c>
      <c r="F100" s="144" t="s">
        <v>28</v>
      </c>
      <c r="G100" s="144">
        <v>15</v>
      </c>
      <c r="H100" s="144" t="s">
        <v>36</v>
      </c>
      <c r="I100" s="131" t="s">
        <v>152</v>
      </c>
      <c r="J100" s="144" t="s">
        <v>30</v>
      </c>
      <c r="K100" s="141">
        <f>((9.3*14%)+9.3)*16250</f>
        <v>172282.5</v>
      </c>
      <c r="L100" s="26">
        <f t="shared" si="5"/>
        <v>31010850</v>
      </c>
      <c r="M100" s="25">
        <f t="shared" si="6"/>
        <v>31010850</v>
      </c>
      <c r="N100" s="10">
        <v>1</v>
      </c>
      <c r="O100" s="271"/>
      <c r="P100" s="307"/>
      <c r="Q100" s="271"/>
      <c r="R100" s="292"/>
      <c r="S100" s="271"/>
      <c r="T100" s="271"/>
      <c r="U100" s="271"/>
      <c r="V100" s="271"/>
      <c r="W100" s="271"/>
      <c r="X100" s="291"/>
      <c r="Y100" s="291"/>
      <c r="Z100" s="242"/>
    </row>
    <row r="101" spans="1:26" ht="63.75" x14ac:dyDescent="0.25">
      <c r="A101" s="125">
        <v>8</v>
      </c>
      <c r="B101" s="299">
        <f>B99+1</f>
        <v>5529</v>
      </c>
      <c r="C101" s="268" t="s">
        <v>25</v>
      </c>
      <c r="D101" s="271" t="s">
        <v>26</v>
      </c>
      <c r="E101" s="301" t="s">
        <v>106</v>
      </c>
      <c r="F101" s="293" t="s">
        <v>28</v>
      </c>
      <c r="G101" s="293">
        <v>25</v>
      </c>
      <c r="H101" s="293" t="s">
        <v>29</v>
      </c>
      <c r="I101" s="294" t="s">
        <v>151</v>
      </c>
      <c r="J101" s="293" t="s">
        <v>32</v>
      </c>
      <c r="K101" s="296">
        <f>(((4.5*(14+192)%)+4.5)+((10.5*14%)+10.5))*16250</f>
        <v>418275.00000000006</v>
      </c>
      <c r="L101" s="296">
        <f t="shared" si="5"/>
        <v>125482500.00000003</v>
      </c>
      <c r="M101" s="297">
        <f>L101*N101</f>
        <v>125482500.00000003</v>
      </c>
      <c r="N101" s="302">
        <v>1</v>
      </c>
      <c r="O101" s="121">
        <v>8</v>
      </c>
      <c r="P101" s="7" t="s">
        <v>128</v>
      </c>
      <c r="Q101" s="121">
        <v>1080605</v>
      </c>
      <c r="R101" s="11" t="s">
        <v>107</v>
      </c>
      <c r="S101" s="121">
        <v>20</v>
      </c>
      <c r="T101" s="121">
        <v>6</v>
      </c>
      <c r="U101" s="121">
        <v>17</v>
      </c>
      <c r="V101" s="121" t="s">
        <v>32</v>
      </c>
      <c r="W101" s="121" t="s">
        <v>106</v>
      </c>
      <c r="X101" s="128">
        <v>41390</v>
      </c>
      <c r="Y101" s="153" t="s">
        <v>283</v>
      </c>
      <c r="Z101" s="13">
        <v>100386000</v>
      </c>
    </row>
    <row r="102" spans="1:26" ht="38.25" x14ac:dyDescent="0.25">
      <c r="A102" s="125">
        <v>8</v>
      </c>
      <c r="B102" s="300"/>
      <c r="C102" s="269"/>
      <c r="D102" s="271"/>
      <c r="E102" s="301"/>
      <c r="F102" s="293"/>
      <c r="G102" s="293"/>
      <c r="H102" s="293"/>
      <c r="I102" s="295"/>
      <c r="J102" s="293"/>
      <c r="K102" s="296"/>
      <c r="L102" s="296"/>
      <c r="M102" s="298"/>
      <c r="N102" s="303"/>
      <c r="O102" s="121">
        <v>8</v>
      </c>
      <c r="P102" s="1" t="s">
        <v>35</v>
      </c>
      <c r="Q102" s="121">
        <v>1080757</v>
      </c>
      <c r="R102" s="11" t="s">
        <v>108</v>
      </c>
      <c r="S102" s="121">
        <v>15</v>
      </c>
      <c r="T102" s="121"/>
      <c r="U102" s="121"/>
      <c r="V102" s="121"/>
      <c r="W102" s="121" t="s">
        <v>109</v>
      </c>
      <c r="X102" s="128">
        <v>43081</v>
      </c>
      <c r="Y102" s="153" t="s">
        <v>282</v>
      </c>
      <c r="Z102" s="141">
        <f>(((9.3*14%)+9.3)*16250)*S102*12</f>
        <v>31010850</v>
      </c>
    </row>
    <row r="103" spans="1:26" ht="51" x14ac:dyDescent="0.25">
      <c r="A103" s="121">
        <v>8</v>
      </c>
      <c r="B103" s="10">
        <f>B101</f>
        <v>5529</v>
      </c>
      <c r="C103" s="121" t="s">
        <v>25</v>
      </c>
      <c r="D103" s="121" t="s">
        <v>35</v>
      </c>
      <c r="E103" s="131" t="s">
        <v>106</v>
      </c>
      <c r="F103" s="144" t="s">
        <v>28</v>
      </c>
      <c r="G103" s="144">
        <v>25</v>
      </c>
      <c r="H103" s="144" t="s">
        <v>36</v>
      </c>
      <c r="I103" s="145" t="s">
        <v>151</v>
      </c>
      <c r="J103" s="144" t="s">
        <v>32</v>
      </c>
      <c r="K103" s="141">
        <f>((9.3*14%)+9.3)*16250</f>
        <v>172282.5</v>
      </c>
      <c r="L103" s="141">
        <f>K103*G103*12</f>
        <v>51684750</v>
      </c>
      <c r="M103" s="26">
        <f>L103*N103</f>
        <v>51684750</v>
      </c>
      <c r="N103" s="144">
        <v>1</v>
      </c>
      <c r="O103" s="125">
        <v>8</v>
      </c>
      <c r="P103" s="154" t="s">
        <v>128</v>
      </c>
      <c r="Q103" s="125">
        <v>1080600</v>
      </c>
      <c r="R103" s="159" t="s">
        <v>110</v>
      </c>
      <c r="S103" s="125">
        <v>10</v>
      </c>
      <c r="T103" s="125">
        <v>6</v>
      </c>
      <c r="U103" s="125">
        <v>17</v>
      </c>
      <c r="V103" s="125" t="s">
        <v>30</v>
      </c>
      <c r="W103" s="125" t="s">
        <v>106</v>
      </c>
      <c r="X103" s="151">
        <v>41218</v>
      </c>
      <c r="Y103" s="151" t="s">
        <v>283</v>
      </c>
      <c r="Z103" s="127">
        <v>50193000</v>
      </c>
    </row>
    <row r="104" spans="1:26" ht="51" x14ac:dyDescent="0.25">
      <c r="A104" s="121">
        <v>8</v>
      </c>
      <c r="B104" s="10">
        <v>5530</v>
      </c>
      <c r="C104" s="121" t="s">
        <v>25</v>
      </c>
      <c r="D104" s="121" t="s">
        <v>26</v>
      </c>
      <c r="E104" s="131" t="s">
        <v>111</v>
      </c>
      <c r="F104" s="144" t="s">
        <v>28</v>
      </c>
      <c r="G104" s="144">
        <v>17</v>
      </c>
      <c r="H104" s="144" t="s">
        <v>29</v>
      </c>
      <c r="I104" s="14" t="s">
        <v>150</v>
      </c>
      <c r="J104" s="144" t="s">
        <v>55</v>
      </c>
      <c r="K104" s="26">
        <f>(((4.5*(14+192)%)+4.5)+((10.5*14%)+10.5))*16250</f>
        <v>418275.00000000006</v>
      </c>
      <c r="L104" s="26">
        <f t="shared" si="5"/>
        <v>85328100.000000015</v>
      </c>
      <c r="M104" s="26">
        <f t="shared" ref="M104:M109" si="7">L104*N104</f>
        <v>85328100.000000015</v>
      </c>
      <c r="N104" s="144">
        <v>1</v>
      </c>
      <c r="O104" s="121">
        <v>8</v>
      </c>
      <c r="P104" s="7" t="s">
        <v>128</v>
      </c>
      <c r="Q104" s="121">
        <v>1080593</v>
      </c>
      <c r="R104" s="11" t="s">
        <v>112</v>
      </c>
      <c r="S104" s="121">
        <v>17</v>
      </c>
      <c r="T104" s="121">
        <v>6</v>
      </c>
      <c r="U104" s="121">
        <v>18</v>
      </c>
      <c r="V104" s="121" t="s">
        <v>55</v>
      </c>
      <c r="W104" s="121" t="s">
        <v>111</v>
      </c>
      <c r="X104" s="128">
        <v>41246</v>
      </c>
      <c r="Y104" s="153" t="s">
        <v>276</v>
      </c>
      <c r="Z104" s="13">
        <v>85328100</v>
      </c>
    </row>
    <row r="105" spans="1:26" ht="51" x14ac:dyDescent="0.25">
      <c r="A105" s="121">
        <v>8</v>
      </c>
      <c r="B105" s="10">
        <f>B104</f>
        <v>5530</v>
      </c>
      <c r="C105" s="121" t="s">
        <v>34</v>
      </c>
      <c r="D105" s="121" t="s">
        <v>35</v>
      </c>
      <c r="E105" s="131" t="s">
        <v>111</v>
      </c>
      <c r="F105" s="144" t="s">
        <v>28</v>
      </c>
      <c r="G105" s="144">
        <v>17</v>
      </c>
      <c r="H105" s="144" t="s">
        <v>36</v>
      </c>
      <c r="I105" s="14" t="s">
        <v>150</v>
      </c>
      <c r="J105" s="144" t="s">
        <v>55</v>
      </c>
      <c r="K105" s="141">
        <f>((9.3*14%)+9.3)*16250</f>
        <v>172282.5</v>
      </c>
      <c r="L105" s="26">
        <f t="shared" si="5"/>
        <v>35145630</v>
      </c>
      <c r="M105" s="26">
        <f t="shared" si="7"/>
        <v>35145630</v>
      </c>
      <c r="N105" s="144">
        <v>1</v>
      </c>
      <c r="O105" s="121">
        <v>8</v>
      </c>
      <c r="P105" s="1" t="s">
        <v>35</v>
      </c>
      <c r="Q105" s="121">
        <v>1080757</v>
      </c>
      <c r="R105" s="11" t="s">
        <v>108</v>
      </c>
      <c r="S105" s="121">
        <v>15</v>
      </c>
      <c r="T105" s="121"/>
      <c r="U105" s="121"/>
      <c r="V105" s="121"/>
      <c r="W105" s="121" t="s">
        <v>109</v>
      </c>
      <c r="X105" s="128">
        <v>43081</v>
      </c>
      <c r="Y105" s="153" t="s">
        <v>282</v>
      </c>
      <c r="Z105" s="141">
        <f>(((9.3*14%)+9.3)*16250)*S105*12</f>
        <v>31010850</v>
      </c>
    </row>
    <row r="106" spans="1:26" ht="38.25" customHeight="1" x14ac:dyDescent="0.25">
      <c r="A106" s="121">
        <v>8</v>
      </c>
      <c r="B106" s="10">
        <f>B104+1</f>
        <v>5531</v>
      </c>
      <c r="C106" s="121" t="s">
        <v>25</v>
      </c>
      <c r="D106" s="131" t="s">
        <v>26</v>
      </c>
      <c r="E106" s="131" t="s">
        <v>113</v>
      </c>
      <c r="F106" s="144" t="s">
        <v>28</v>
      </c>
      <c r="G106" s="144">
        <v>15</v>
      </c>
      <c r="H106" s="144" t="s">
        <v>29</v>
      </c>
      <c r="I106" s="131" t="s">
        <v>152</v>
      </c>
      <c r="J106" s="144" t="s">
        <v>55</v>
      </c>
      <c r="K106" s="26">
        <f>(((4.5*(14+192)%)+4.5)+((10.5*14%)+10.5))*16250</f>
        <v>418275.00000000006</v>
      </c>
      <c r="L106" s="26">
        <f t="shared" si="5"/>
        <v>75289500.000000015</v>
      </c>
      <c r="M106" s="26">
        <f>L106*N106</f>
        <v>75289500.000000015</v>
      </c>
      <c r="N106" s="10">
        <v>1</v>
      </c>
      <c r="O106" s="121">
        <v>8</v>
      </c>
      <c r="P106" s="268" t="s">
        <v>128</v>
      </c>
      <c r="Q106" s="271">
        <v>1080567</v>
      </c>
      <c r="R106" s="292" t="s">
        <v>114</v>
      </c>
      <c r="S106" s="271">
        <v>40</v>
      </c>
      <c r="T106" s="271">
        <v>6</v>
      </c>
      <c r="U106" s="271">
        <v>17</v>
      </c>
      <c r="V106" s="271" t="s">
        <v>55</v>
      </c>
      <c r="W106" s="271" t="s">
        <v>113</v>
      </c>
      <c r="X106" s="291">
        <v>41015</v>
      </c>
      <c r="Y106" s="291" t="s">
        <v>60</v>
      </c>
      <c r="Z106" s="242">
        <v>195858000.00000003</v>
      </c>
    </row>
    <row r="107" spans="1:26" ht="38.25" x14ac:dyDescent="0.25">
      <c r="A107" s="121">
        <v>8</v>
      </c>
      <c r="B107" s="10">
        <f>B106</f>
        <v>5531</v>
      </c>
      <c r="C107" s="131" t="s">
        <v>34</v>
      </c>
      <c r="D107" s="131" t="s">
        <v>35</v>
      </c>
      <c r="E107" s="131" t="s">
        <v>113</v>
      </c>
      <c r="F107" s="144" t="s">
        <v>28</v>
      </c>
      <c r="G107" s="144">
        <v>15</v>
      </c>
      <c r="H107" s="144" t="s">
        <v>36</v>
      </c>
      <c r="I107" s="131" t="s">
        <v>152</v>
      </c>
      <c r="J107" s="144" t="s">
        <v>55</v>
      </c>
      <c r="K107" s="141">
        <f>((9.3*14%)+9.3)*16250</f>
        <v>172282.5</v>
      </c>
      <c r="L107" s="26">
        <f t="shared" si="5"/>
        <v>31010850</v>
      </c>
      <c r="M107" s="141">
        <f t="shared" si="7"/>
        <v>31010850</v>
      </c>
      <c r="N107" s="10">
        <v>1</v>
      </c>
      <c r="O107" s="125">
        <v>8</v>
      </c>
      <c r="P107" s="253"/>
      <c r="Q107" s="268"/>
      <c r="R107" s="292"/>
      <c r="S107" s="271"/>
      <c r="T107" s="271"/>
      <c r="U107" s="271"/>
      <c r="V107" s="271"/>
      <c r="W107" s="271"/>
      <c r="X107" s="291"/>
      <c r="Y107" s="291"/>
      <c r="Z107" s="242"/>
    </row>
    <row r="108" spans="1:26" ht="51" customHeight="1" x14ac:dyDescent="0.25">
      <c r="A108" s="121">
        <v>8</v>
      </c>
      <c r="B108" s="10">
        <f>B106+1</f>
        <v>5532</v>
      </c>
      <c r="C108" s="131" t="s">
        <v>25</v>
      </c>
      <c r="D108" s="131" t="s">
        <v>26</v>
      </c>
      <c r="E108" s="131" t="s">
        <v>115</v>
      </c>
      <c r="F108" s="144" t="s">
        <v>28</v>
      </c>
      <c r="G108" s="144">
        <v>20</v>
      </c>
      <c r="H108" s="144" t="s">
        <v>29</v>
      </c>
      <c r="I108" s="14" t="s">
        <v>150</v>
      </c>
      <c r="J108" s="144" t="s">
        <v>55</v>
      </c>
      <c r="K108" s="26">
        <f>(((4.5*(14+192)%)+4.5)+((10.5*14%)+10.5))*16250</f>
        <v>418275.00000000006</v>
      </c>
      <c r="L108" s="26">
        <f t="shared" si="5"/>
        <v>100386000.00000001</v>
      </c>
      <c r="M108" s="141">
        <f t="shared" si="7"/>
        <v>100386000.00000001</v>
      </c>
      <c r="N108" s="10">
        <v>1</v>
      </c>
      <c r="O108" s="268">
        <v>8</v>
      </c>
      <c r="P108" s="268" t="s">
        <v>128</v>
      </c>
      <c r="Q108" s="268">
        <v>1080563</v>
      </c>
      <c r="R108" s="289" t="s">
        <v>116</v>
      </c>
      <c r="S108" s="268">
        <v>30</v>
      </c>
      <c r="T108" s="268">
        <v>0</v>
      </c>
      <c r="U108" s="268">
        <v>18</v>
      </c>
      <c r="V108" s="268" t="s">
        <v>55</v>
      </c>
      <c r="W108" s="268" t="s">
        <v>115</v>
      </c>
      <c r="X108" s="241">
        <v>41015</v>
      </c>
      <c r="Y108" s="241" t="s">
        <v>60</v>
      </c>
      <c r="Z108" s="287">
        <v>148736250.00000003</v>
      </c>
    </row>
    <row r="109" spans="1:26" ht="51" x14ac:dyDescent="0.25">
      <c r="A109" s="121">
        <v>8</v>
      </c>
      <c r="B109" s="10">
        <f>B108</f>
        <v>5532</v>
      </c>
      <c r="C109" s="131" t="s">
        <v>34</v>
      </c>
      <c r="D109" s="131" t="s">
        <v>35</v>
      </c>
      <c r="E109" s="131" t="s">
        <v>115</v>
      </c>
      <c r="F109" s="144" t="s">
        <v>28</v>
      </c>
      <c r="G109" s="144">
        <v>20</v>
      </c>
      <c r="H109" s="144" t="s">
        <v>36</v>
      </c>
      <c r="I109" s="14" t="s">
        <v>150</v>
      </c>
      <c r="J109" s="144" t="s">
        <v>55</v>
      </c>
      <c r="K109" s="141">
        <f>((9.3*14%)+9.3)*16250</f>
        <v>172282.5</v>
      </c>
      <c r="L109" s="26">
        <f t="shared" si="5"/>
        <v>41347800</v>
      </c>
      <c r="M109" s="141">
        <f t="shared" si="7"/>
        <v>41347800</v>
      </c>
      <c r="N109" s="10">
        <v>1</v>
      </c>
      <c r="O109" s="269"/>
      <c r="P109" s="269"/>
      <c r="Q109" s="269"/>
      <c r="R109" s="290"/>
      <c r="S109" s="269"/>
      <c r="T109" s="269"/>
      <c r="U109" s="269"/>
      <c r="V109" s="269"/>
      <c r="W109" s="269"/>
      <c r="X109" s="240"/>
      <c r="Y109" s="240"/>
      <c r="Z109" s="288"/>
    </row>
    <row r="110" spans="1:26" ht="63.75" x14ac:dyDescent="0.25">
      <c r="A110" s="121">
        <v>8</v>
      </c>
      <c r="B110" s="10">
        <f>B108+1</f>
        <v>5533</v>
      </c>
      <c r="C110" s="121" t="s">
        <v>25</v>
      </c>
      <c r="D110" s="131" t="s">
        <v>26</v>
      </c>
      <c r="E110" s="131" t="s">
        <v>117</v>
      </c>
      <c r="F110" s="144" t="s">
        <v>28</v>
      </c>
      <c r="G110" s="144">
        <v>35</v>
      </c>
      <c r="H110" s="144" t="s">
        <v>29</v>
      </c>
      <c r="I110" s="14" t="s">
        <v>151</v>
      </c>
      <c r="J110" s="144" t="s">
        <v>32</v>
      </c>
      <c r="K110" s="26">
        <f>(((4.5*(14+178)%)+4.5)+((10.5*14%)+10.5))*16250</f>
        <v>408037.5</v>
      </c>
      <c r="L110" s="26">
        <f t="shared" si="5"/>
        <v>171375750</v>
      </c>
      <c r="M110" s="26">
        <f t="shared" ref="M110:M116" si="8">L110*N110</f>
        <v>171375750</v>
      </c>
      <c r="N110" s="144">
        <v>1</v>
      </c>
      <c r="O110" s="50">
        <v>8</v>
      </c>
      <c r="P110" s="121" t="s">
        <v>128</v>
      </c>
      <c r="Q110" s="121">
        <v>1080535</v>
      </c>
      <c r="R110" s="11" t="s">
        <v>118</v>
      </c>
      <c r="S110" s="121">
        <v>35</v>
      </c>
      <c r="T110" s="121">
        <v>6</v>
      </c>
      <c r="U110" s="121">
        <v>17</v>
      </c>
      <c r="V110" s="121" t="s">
        <v>32</v>
      </c>
      <c r="W110" s="128" t="s">
        <v>117</v>
      </c>
      <c r="X110" s="128">
        <v>40725</v>
      </c>
      <c r="Y110" s="128" t="s">
        <v>60</v>
      </c>
      <c r="Z110" s="35">
        <v>171375750.00000003</v>
      </c>
    </row>
    <row r="111" spans="1:26" ht="38.25" x14ac:dyDescent="0.25">
      <c r="A111" s="121">
        <v>8</v>
      </c>
      <c r="B111" s="10">
        <f>B110</f>
        <v>5533</v>
      </c>
      <c r="C111" s="121" t="s">
        <v>34</v>
      </c>
      <c r="D111" s="131" t="s">
        <v>35</v>
      </c>
      <c r="E111" s="131" t="s">
        <v>117</v>
      </c>
      <c r="F111" s="144" t="s">
        <v>28</v>
      </c>
      <c r="G111" s="144">
        <v>35</v>
      </c>
      <c r="H111" s="144" t="s">
        <v>36</v>
      </c>
      <c r="I111" s="14" t="s">
        <v>151</v>
      </c>
      <c r="J111" s="144" t="s">
        <v>32</v>
      </c>
      <c r="K111" s="141">
        <f>((9.3*14%)+9.3)*16250</f>
        <v>172282.5</v>
      </c>
      <c r="L111" s="26">
        <f t="shared" si="5"/>
        <v>72358650</v>
      </c>
      <c r="M111" s="141">
        <f t="shared" si="8"/>
        <v>72358650</v>
      </c>
      <c r="N111" s="144">
        <v>1</v>
      </c>
      <c r="O111" s="113"/>
      <c r="P111" s="39"/>
      <c r="Q111" s="39"/>
      <c r="R111" s="39"/>
      <c r="S111" s="39"/>
      <c r="T111" s="39"/>
      <c r="U111" s="39"/>
      <c r="V111" s="39"/>
      <c r="W111" s="114"/>
      <c r="X111" s="114"/>
      <c r="Y111" s="114"/>
      <c r="Z111" s="115"/>
    </row>
    <row r="112" spans="1:26" ht="38.25" x14ac:dyDescent="0.25">
      <c r="A112" s="131">
        <v>8</v>
      </c>
      <c r="B112" s="144">
        <v>5534</v>
      </c>
      <c r="C112" s="131" t="s">
        <v>25</v>
      </c>
      <c r="D112" s="131" t="s">
        <v>46</v>
      </c>
      <c r="E112" s="153" t="s">
        <v>115</v>
      </c>
      <c r="F112" s="144" t="s">
        <v>28</v>
      </c>
      <c r="G112" s="144">
        <v>15</v>
      </c>
      <c r="H112" s="144" t="s">
        <v>29</v>
      </c>
      <c r="I112" s="131" t="s">
        <v>148</v>
      </c>
      <c r="J112" s="144" t="s">
        <v>32</v>
      </c>
      <c r="K112" s="26">
        <f>(((4.5*(14+192)%)+4.5)+((10.5*14%)+10.5))*16250</f>
        <v>418275.00000000006</v>
      </c>
      <c r="L112" s="26">
        <f>K112*G112*12</f>
        <v>75289500.000000015</v>
      </c>
      <c r="M112" s="141">
        <f t="shared" si="8"/>
        <v>75289500.000000015</v>
      </c>
      <c r="N112" s="144">
        <v>1</v>
      </c>
      <c r="O112" s="280" t="s">
        <v>260</v>
      </c>
      <c r="P112" s="281"/>
      <c r="Q112" s="281"/>
      <c r="R112" s="281"/>
      <c r="S112" s="281"/>
      <c r="T112" s="281"/>
      <c r="U112" s="281"/>
      <c r="V112" s="281"/>
      <c r="W112" s="281"/>
      <c r="X112" s="281"/>
      <c r="Y112" s="281"/>
      <c r="Z112" s="12"/>
    </row>
    <row r="113" spans="1:26" ht="38.25" x14ac:dyDescent="0.25">
      <c r="A113" s="131">
        <v>8</v>
      </c>
      <c r="B113" s="144">
        <f>B112</f>
        <v>5534</v>
      </c>
      <c r="C113" s="131" t="s">
        <v>34</v>
      </c>
      <c r="D113" s="131" t="s">
        <v>35</v>
      </c>
      <c r="E113" s="153" t="s">
        <v>115</v>
      </c>
      <c r="F113" s="144" t="s">
        <v>28</v>
      </c>
      <c r="G113" s="144">
        <v>15</v>
      </c>
      <c r="H113" s="144" t="s">
        <v>36</v>
      </c>
      <c r="I113" s="131" t="s">
        <v>148</v>
      </c>
      <c r="J113" s="144" t="s">
        <v>32</v>
      </c>
      <c r="K113" s="141">
        <f>((9.3*14%)+9.3)*16250</f>
        <v>172282.5</v>
      </c>
      <c r="L113" s="26">
        <f>K113*G113*12</f>
        <v>31010850</v>
      </c>
      <c r="M113" s="141">
        <f t="shared" si="8"/>
        <v>31010850</v>
      </c>
      <c r="N113" s="144">
        <v>1</v>
      </c>
      <c r="O113" s="282"/>
      <c r="P113" s="283"/>
      <c r="Q113" s="283"/>
      <c r="R113" s="283"/>
      <c r="S113" s="283"/>
      <c r="T113" s="283"/>
      <c r="U113" s="283"/>
      <c r="V113" s="283"/>
      <c r="W113" s="283"/>
      <c r="X113" s="283"/>
      <c r="Y113" s="283"/>
      <c r="Z113" s="12"/>
    </row>
    <row r="114" spans="1:26" ht="38.25" x14ac:dyDescent="0.25">
      <c r="A114" s="172">
        <v>9</v>
      </c>
      <c r="B114" s="10">
        <f>B112+1</f>
        <v>5535</v>
      </c>
      <c r="C114" s="88" t="s">
        <v>25</v>
      </c>
      <c r="D114" s="178" t="s">
        <v>26</v>
      </c>
      <c r="E114" s="131" t="s">
        <v>159</v>
      </c>
      <c r="F114" s="144" t="s">
        <v>28</v>
      </c>
      <c r="G114" s="144">
        <v>30</v>
      </c>
      <c r="H114" s="144" t="s">
        <v>29</v>
      </c>
      <c r="I114" s="131" t="s">
        <v>152</v>
      </c>
      <c r="J114" s="144" t="s">
        <v>30</v>
      </c>
      <c r="K114" s="26">
        <f>(((4.5*(14+178)%)+4.5)+((10.5*14%)+10.5))*16250</f>
        <v>408037.5</v>
      </c>
      <c r="L114" s="26">
        <f t="shared" ref="L114:L177" si="9">K114*G114*12</f>
        <v>146893500</v>
      </c>
      <c r="M114" s="141">
        <f t="shared" si="8"/>
        <v>146893500</v>
      </c>
      <c r="N114" s="144">
        <v>1</v>
      </c>
      <c r="O114" s="45">
        <v>9</v>
      </c>
      <c r="P114" s="88" t="s">
        <v>26</v>
      </c>
      <c r="Q114" s="88">
        <v>1090498</v>
      </c>
      <c r="R114" s="46" t="s">
        <v>160</v>
      </c>
      <c r="S114" s="88">
        <v>35</v>
      </c>
      <c r="T114" s="88">
        <v>6</v>
      </c>
      <c r="U114" s="88">
        <v>18</v>
      </c>
      <c r="V114" s="88" t="s">
        <v>30</v>
      </c>
      <c r="W114" s="88" t="s">
        <v>159</v>
      </c>
      <c r="X114" s="89">
        <v>43081</v>
      </c>
      <c r="Y114" s="89">
        <v>43628</v>
      </c>
      <c r="Z114" s="38">
        <v>171375750.00000003</v>
      </c>
    </row>
    <row r="115" spans="1:26" ht="38.25" x14ac:dyDescent="0.25">
      <c r="A115" s="172">
        <v>9</v>
      </c>
      <c r="B115" s="144">
        <f>B114</f>
        <v>5535</v>
      </c>
      <c r="C115" s="1" t="s">
        <v>34</v>
      </c>
      <c r="D115" s="1" t="s">
        <v>35</v>
      </c>
      <c r="E115" s="88" t="s">
        <v>159</v>
      </c>
      <c r="F115" s="144" t="s">
        <v>28</v>
      </c>
      <c r="G115" s="144">
        <v>30</v>
      </c>
      <c r="H115" s="144" t="s">
        <v>36</v>
      </c>
      <c r="I115" s="131" t="s">
        <v>152</v>
      </c>
      <c r="J115" s="144" t="s">
        <v>30</v>
      </c>
      <c r="K115" s="141">
        <f>((9.3*14%)+9.3)*16250</f>
        <v>172282.5</v>
      </c>
      <c r="L115" s="26">
        <f t="shared" si="9"/>
        <v>62021700</v>
      </c>
      <c r="M115" s="141">
        <f t="shared" si="8"/>
        <v>62021700</v>
      </c>
      <c r="N115" s="144">
        <v>1</v>
      </c>
      <c r="O115" s="16">
        <v>9</v>
      </c>
      <c r="P115" s="1" t="s">
        <v>35</v>
      </c>
      <c r="Q115" s="1">
        <v>1090499</v>
      </c>
      <c r="R115" s="18" t="s">
        <v>161</v>
      </c>
      <c r="S115" s="1">
        <v>35</v>
      </c>
      <c r="T115" s="1">
        <v>6</v>
      </c>
      <c r="U115" s="1">
        <v>18</v>
      </c>
      <c r="V115" s="1" t="s">
        <v>30</v>
      </c>
      <c r="W115" s="1" t="s">
        <v>159</v>
      </c>
      <c r="X115" s="19">
        <v>43081</v>
      </c>
      <c r="Y115" s="19">
        <v>43628</v>
      </c>
      <c r="Z115" s="34">
        <f>(((9.3*14%)+9.3)*16250)*S115*12</f>
        <v>72358650</v>
      </c>
    </row>
    <row r="116" spans="1:26" ht="38.25" x14ac:dyDescent="0.25">
      <c r="A116" s="168">
        <v>9</v>
      </c>
      <c r="B116" s="10">
        <v>5536</v>
      </c>
      <c r="C116" s="7" t="s">
        <v>25</v>
      </c>
      <c r="D116" s="1" t="s">
        <v>46</v>
      </c>
      <c r="E116" s="1" t="s">
        <v>163</v>
      </c>
      <c r="F116" s="144" t="s">
        <v>28</v>
      </c>
      <c r="G116" s="144">
        <v>20</v>
      </c>
      <c r="H116" s="144" t="s">
        <v>29</v>
      </c>
      <c r="I116" s="131" t="s">
        <v>148</v>
      </c>
      <c r="J116" s="144" t="s">
        <v>32</v>
      </c>
      <c r="K116" s="26">
        <f>(((4.5*(14+192)%)+4.5)+((10.5*(14+90)%)+10.5))*16250</f>
        <v>571837.5</v>
      </c>
      <c r="L116" s="26">
        <f t="shared" si="9"/>
        <v>137241000</v>
      </c>
      <c r="M116" s="26">
        <f t="shared" si="8"/>
        <v>137241000</v>
      </c>
      <c r="N116" s="144">
        <v>1</v>
      </c>
      <c r="O116" s="16">
        <v>9</v>
      </c>
      <c r="P116" s="1" t="s">
        <v>46</v>
      </c>
      <c r="Q116" s="7">
        <v>1090416</v>
      </c>
      <c r="R116" s="8" t="s">
        <v>164</v>
      </c>
      <c r="S116" s="7">
        <v>20</v>
      </c>
      <c r="T116" s="7">
        <v>0</v>
      </c>
      <c r="U116" s="7">
        <v>5</v>
      </c>
      <c r="V116" s="7" t="s">
        <v>32</v>
      </c>
      <c r="W116" s="7" t="s">
        <v>163</v>
      </c>
      <c r="X116" s="9">
        <v>42278</v>
      </c>
      <c r="Y116" s="9" t="s">
        <v>60</v>
      </c>
      <c r="Z116" s="35">
        <v>137241000</v>
      </c>
    </row>
    <row r="117" spans="1:26" ht="38.25" x14ac:dyDescent="0.25">
      <c r="A117" s="168">
        <v>9</v>
      </c>
      <c r="B117" s="10">
        <f>B116</f>
        <v>5536</v>
      </c>
      <c r="C117" s="7" t="s">
        <v>34</v>
      </c>
      <c r="D117" s="1" t="s">
        <v>35</v>
      </c>
      <c r="E117" s="1" t="s">
        <v>163</v>
      </c>
      <c r="F117" s="144" t="s">
        <v>28</v>
      </c>
      <c r="G117" s="144">
        <v>20</v>
      </c>
      <c r="H117" s="144" t="s">
        <v>36</v>
      </c>
      <c r="I117" s="131" t="s">
        <v>148</v>
      </c>
      <c r="J117" s="144" t="s">
        <v>32</v>
      </c>
      <c r="K117" s="141">
        <f>((9.3*14%)+9.3)*16250</f>
        <v>172282.5</v>
      </c>
      <c r="L117" s="26">
        <f t="shared" si="9"/>
        <v>41347800</v>
      </c>
      <c r="M117" s="141">
        <f t="shared" ref="M117:M135" si="10">L117*N117</f>
        <v>41347800</v>
      </c>
      <c r="N117" s="144">
        <v>1</v>
      </c>
      <c r="O117" s="16">
        <v>9</v>
      </c>
      <c r="P117" s="1" t="s">
        <v>35</v>
      </c>
      <c r="Q117" s="7">
        <v>1090417</v>
      </c>
      <c r="R117" s="8" t="s">
        <v>165</v>
      </c>
      <c r="S117" s="7">
        <v>20</v>
      </c>
      <c r="T117" s="7">
        <v>0</v>
      </c>
      <c r="U117" s="7">
        <v>5</v>
      </c>
      <c r="V117" s="7" t="s">
        <v>32</v>
      </c>
      <c r="W117" s="7" t="s">
        <v>163</v>
      </c>
      <c r="X117" s="9">
        <v>42278</v>
      </c>
      <c r="Y117" s="9" t="s">
        <v>60</v>
      </c>
      <c r="Z117" s="34">
        <f>(((9.3*14%)+9.3)*16250)*S117*12</f>
        <v>41347800</v>
      </c>
    </row>
    <row r="118" spans="1:26" ht="38.25" x14ac:dyDescent="0.25">
      <c r="A118" s="168">
        <v>9</v>
      </c>
      <c r="B118" s="10">
        <v>5537</v>
      </c>
      <c r="C118" s="1" t="s">
        <v>25</v>
      </c>
      <c r="D118" s="1" t="s">
        <v>26</v>
      </c>
      <c r="E118" s="1" t="s">
        <v>162</v>
      </c>
      <c r="F118" s="144" t="s">
        <v>28</v>
      </c>
      <c r="G118" s="144">
        <v>20</v>
      </c>
      <c r="H118" s="144" t="s">
        <v>29</v>
      </c>
      <c r="I118" s="131" t="s">
        <v>152</v>
      </c>
      <c r="J118" s="144" t="s">
        <v>55</v>
      </c>
      <c r="K118" s="141">
        <f>(((4.5*(14+192)%)+4.5)+((10.5*14%)+10.5))*16250</f>
        <v>418275.00000000006</v>
      </c>
      <c r="L118" s="26">
        <f t="shared" si="9"/>
        <v>100386000.00000001</v>
      </c>
      <c r="M118" s="141">
        <f t="shared" si="10"/>
        <v>100386000.00000001</v>
      </c>
      <c r="N118" s="144">
        <v>1</v>
      </c>
      <c r="O118" s="48">
        <v>9</v>
      </c>
      <c r="P118" s="121" t="s">
        <v>26</v>
      </c>
      <c r="Q118" s="6">
        <v>1090457</v>
      </c>
      <c r="R118" s="8" t="s">
        <v>166</v>
      </c>
      <c r="S118" s="7">
        <v>20</v>
      </c>
      <c r="T118" s="7">
        <v>6</v>
      </c>
      <c r="U118" s="7">
        <v>18</v>
      </c>
      <c r="V118" s="7" t="s">
        <v>32</v>
      </c>
      <c r="W118" s="7" t="s">
        <v>162</v>
      </c>
      <c r="X118" s="9">
        <v>42734</v>
      </c>
      <c r="Y118" s="9">
        <v>43646</v>
      </c>
      <c r="Z118" s="35">
        <v>100386000</v>
      </c>
    </row>
    <row r="119" spans="1:26" ht="38.25" x14ac:dyDescent="0.25">
      <c r="A119" s="168">
        <v>9</v>
      </c>
      <c r="B119" s="10">
        <f>B118</f>
        <v>5537</v>
      </c>
      <c r="C119" s="1" t="s">
        <v>34</v>
      </c>
      <c r="D119" s="1" t="s">
        <v>35</v>
      </c>
      <c r="E119" s="1" t="s">
        <v>162</v>
      </c>
      <c r="F119" s="144" t="s">
        <v>28</v>
      </c>
      <c r="G119" s="144">
        <v>20</v>
      </c>
      <c r="H119" s="144" t="s">
        <v>36</v>
      </c>
      <c r="I119" s="131" t="s">
        <v>152</v>
      </c>
      <c r="J119" s="144" t="s">
        <v>55</v>
      </c>
      <c r="K119" s="141">
        <f>((9.3*14%)+9.3)*16250</f>
        <v>172282.5</v>
      </c>
      <c r="L119" s="26">
        <f t="shared" si="9"/>
        <v>41347800</v>
      </c>
      <c r="M119" s="141">
        <f t="shared" si="10"/>
        <v>41347800</v>
      </c>
      <c r="N119" s="144">
        <v>1</v>
      </c>
      <c r="O119" s="48">
        <v>9</v>
      </c>
      <c r="P119" s="121" t="s">
        <v>35</v>
      </c>
      <c r="Q119" s="6">
        <v>1090458</v>
      </c>
      <c r="R119" s="8" t="s">
        <v>167</v>
      </c>
      <c r="S119" s="7">
        <v>20</v>
      </c>
      <c r="T119" s="7">
        <v>6</v>
      </c>
      <c r="U119" s="7">
        <v>18</v>
      </c>
      <c r="V119" s="7" t="s">
        <v>32</v>
      </c>
      <c r="W119" s="7" t="s">
        <v>162</v>
      </c>
      <c r="X119" s="9">
        <v>42734</v>
      </c>
      <c r="Y119" s="9">
        <v>43646</v>
      </c>
      <c r="Z119" s="34">
        <f>(((9.3*14%)+9.3)*16250)*S119*12</f>
        <v>41347800</v>
      </c>
    </row>
    <row r="120" spans="1:26" ht="38.25" x14ac:dyDescent="0.25">
      <c r="A120" s="168">
        <v>9</v>
      </c>
      <c r="B120" s="10">
        <f>B118+1</f>
        <v>5538</v>
      </c>
      <c r="C120" s="87" t="s">
        <v>25</v>
      </c>
      <c r="D120" s="1" t="s">
        <v>26</v>
      </c>
      <c r="E120" s="1" t="s">
        <v>168</v>
      </c>
      <c r="F120" s="144" t="s">
        <v>28</v>
      </c>
      <c r="G120" s="144">
        <v>20</v>
      </c>
      <c r="H120" s="144" t="s">
        <v>29</v>
      </c>
      <c r="I120" s="131" t="s">
        <v>152</v>
      </c>
      <c r="J120" s="144" t="s">
        <v>30</v>
      </c>
      <c r="K120" s="141">
        <f>(((4.5*(14+192)%)+4.5)+((10.5*14%)+10.5))*16250</f>
        <v>418275.00000000006</v>
      </c>
      <c r="L120" s="26">
        <f t="shared" si="9"/>
        <v>100386000.00000001</v>
      </c>
      <c r="M120" s="141">
        <f t="shared" si="10"/>
        <v>100386000.00000001</v>
      </c>
      <c r="N120" s="144">
        <v>1</v>
      </c>
      <c r="O120" s="49">
        <v>9</v>
      </c>
      <c r="P120" s="121" t="s">
        <v>26</v>
      </c>
      <c r="Q120" s="6">
        <v>1090462</v>
      </c>
      <c r="R120" s="8" t="s">
        <v>169</v>
      </c>
      <c r="S120" s="7">
        <v>20</v>
      </c>
      <c r="T120" s="7">
        <v>6</v>
      </c>
      <c r="U120" s="7">
        <v>18</v>
      </c>
      <c r="V120" s="7" t="s">
        <v>30</v>
      </c>
      <c r="W120" s="7" t="s">
        <v>168</v>
      </c>
      <c r="X120" s="9">
        <v>42734</v>
      </c>
      <c r="Y120" s="9">
        <v>43646</v>
      </c>
      <c r="Z120" s="35">
        <v>100386000</v>
      </c>
    </row>
    <row r="121" spans="1:26" ht="38.25" x14ac:dyDescent="0.25">
      <c r="A121" s="168">
        <v>9</v>
      </c>
      <c r="B121" s="10">
        <f>B120</f>
        <v>5538</v>
      </c>
      <c r="C121" s="131" t="s">
        <v>34</v>
      </c>
      <c r="D121" s="1" t="s">
        <v>35</v>
      </c>
      <c r="E121" s="1" t="s">
        <v>168</v>
      </c>
      <c r="F121" s="144" t="s">
        <v>28</v>
      </c>
      <c r="G121" s="144">
        <v>20</v>
      </c>
      <c r="H121" s="144" t="s">
        <v>36</v>
      </c>
      <c r="I121" s="131" t="s">
        <v>152</v>
      </c>
      <c r="J121" s="144" t="s">
        <v>30</v>
      </c>
      <c r="K121" s="141">
        <f>((9.3*14%)+9.3)*16250</f>
        <v>172282.5</v>
      </c>
      <c r="L121" s="26">
        <f t="shared" si="9"/>
        <v>41347800</v>
      </c>
      <c r="M121" s="141">
        <f t="shared" si="10"/>
        <v>41347800</v>
      </c>
      <c r="N121" s="144">
        <v>1</v>
      </c>
      <c r="O121" s="47">
        <v>9</v>
      </c>
      <c r="P121" s="121" t="s">
        <v>35</v>
      </c>
      <c r="Q121" s="6">
        <v>1090463</v>
      </c>
      <c r="R121" s="8" t="s">
        <v>170</v>
      </c>
      <c r="S121" s="7">
        <v>20</v>
      </c>
      <c r="T121" s="7">
        <v>6</v>
      </c>
      <c r="U121" s="7">
        <v>18</v>
      </c>
      <c r="V121" s="7" t="s">
        <v>30</v>
      </c>
      <c r="W121" s="7" t="s">
        <v>168</v>
      </c>
      <c r="X121" s="9">
        <v>42734</v>
      </c>
      <c r="Y121" s="9">
        <v>43646</v>
      </c>
      <c r="Z121" s="34">
        <f>(((9.3*14%)+9.3)*16250)*S121*12</f>
        <v>41347800</v>
      </c>
    </row>
    <row r="122" spans="1:26" ht="51" x14ac:dyDescent="0.25">
      <c r="A122" s="121">
        <v>10</v>
      </c>
      <c r="B122" s="10">
        <v>5539</v>
      </c>
      <c r="C122" s="121" t="s">
        <v>25</v>
      </c>
      <c r="D122" s="121" t="s">
        <v>26</v>
      </c>
      <c r="E122" s="131" t="s">
        <v>72</v>
      </c>
      <c r="F122" s="144" t="s">
        <v>28</v>
      </c>
      <c r="G122" s="144">
        <v>15</v>
      </c>
      <c r="H122" s="144" t="s">
        <v>29</v>
      </c>
      <c r="I122" s="14" t="s">
        <v>150</v>
      </c>
      <c r="J122" s="144" t="s">
        <v>30</v>
      </c>
      <c r="K122" s="26">
        <f>(((4.5*(14+192)%)+4.5)+((10.5*14%)+10.5))*16250</f>
        <v>418275.00000000006</v>
      </c>
      <c r="L122" s="26">
        <f t="shared" si="9"/>
        <v>75289500.000000015</v>
      </c>
      <c r="M122" s="26">
        <f t="shared" si="10"/>
        <v>75289500.000000015</v>
      </c>
      <c r="N122" s="144">
        <v>1</v>
      </c>
      <c r="O122" s="121">
        <v>10</v>
      </c>
      <c r="P122" s="7" t="s">
        <v>128</v>
      </c>
      <c r="Q122" s="121">
        <v>1100353</v>
      </c>
      <c r="R122" s="11" t="s">
        <v>73</v>
      </c>
      <c r="S122" s="121">
        <v>60</v>
      </c>
      <c r="T122" s="121">
        <v>6</v>
      </c>
      <c r="U122" s="121">
        <v>18</v>
      </c>
      <c r="V122" s="121" t="s">
        <v>30</v>
      </c>
      <c r="W122" s="121" t="s">
        <v>72</v>
      </c>
      <c r="X122" s="128">
        <v>41100</v>
      </c>
      <c r="Y122" s="128" t="s">
        <v>60</v>
      </c>
      <c r="Z122" s="13">
        <v>210600000</v>
      </c>
    </row>
    <row r="123" spans="1:26" ht="51" x14ac:dyDescent="0.25">
      <c r="A123" s="121">
        <v>10</v>
      </c>
      <c r="B123" s="10">
        <f>B122</f>
        <v>5539</v>
      </c>
      <c r="C123" s="121" t="s">
        <v>34</v>
      </c>
      <c r="D123" s="121" t="s">
        <v>35</v>
      </c>
      <c r="E123" s="131" t="s">
        <v>72</v>
      </c>
      <c r="F123" s="144" t="s">
        <v>28</v>
      </c>
      <c r="G123" s="144">
        <v>15</v>
      </c>
      <c r="H123" s="144" t="s">
        <v>36</v>
      </c>
      <c r="I123" s="14" t="s">
        <v>150</v>
      </c>
      <c r="J123" s="144" t="s">
        <v>30</v>
      </c>
      <c r="K123" s="141">
        <f>((9.3*14%)+9.3)*16250</f>
        <v>172282.5</v>
      </c>
      <c r="L123" s="26">
        <f t="shared" si="9"/>
        <v>31010850</v>
      </c>
      <c r="M123" s="141">
        <f t="shared" si="10"/>
        <v>31010850</v>
      </c>
      <c r="N123" s="144">
        <v>1</v>
      </c>
      <c r="O123" s="121">
        <v>10</v>
      </c>
      <c r="P123" s="1" t="s">
        <v>35</v>
      </c>
      <c r="Q123" s="121">
        <v>1100433</v>
      </c>
      <c r="R123" s="11" t="s">
        <v>74</v>
      </c>
      <c r="S123" s="121">
        <v>30</v>
      </c>
      <c r="T123" s="121">
        <v>6</v>
      </c>
      <c r="U123" s="121">
        <v>18</v>
      </c>
      <c r="V123" s="121" t="s">
        <v>30</v>
      </c>
      <c r="W123" s="121" t="s">
        <v>72</v>
      </c>
      <c r="X123" s="128">
        <v>42278</v>
      </c>
      <c r="Y123" s="128" t="s">
        <v>60</v>
      </c>
      <c r="Z123" s="141">
        <f>(((9.3*14%)+9.3)*16250)*S123*12</f>
        <v>62021700</v>
      </c>
    </row>
    <row r="124" spans="1:26" ht="38.25" x14ac:dyDescent="0.25">
      <c r="A124" s="121">
        <v>10</v>
      </c>
      <c r="B124" s="10">
        <f>B122+1</f>
        <v>5540</v>
      </c>
      <c r="C124" s="121" t="s">
        <v>25</v>
      </c>
      <c r="D124" s="121" t="s">
        <v>26</v>
      </c>
      <c r="E124" s="131" t="s">
        <v>72</v>
      </c>
      <c r="F124" s="144" t="s">
        <v>28</v>
      </c>
      <c r="G124" s="144">
        <v>15</v>
      </c>
      <c r="H124" s="144" t="s">
        <v>29</v>
      </c>
      <c r="I124" s="14" t="s">
        <v>151</v>
      </c>
      <c r="J124" s="144" t="s">
        <v>30</v>
      </c>
      <c r="K124" s="26">
        <f>(((4.5*(14+192)%)+4.5)+((10.5*14%)+10.5))*16250</f>
        <v>418275.00000000006</v>
      </c>
      <c r="L124" s="26">
        <f t="shared" si="9"/>
        <v>75289500.000000015</v>
      </c>
      <c r="M124" s="26">
        <f t="shared" si="10"/>
        <v>75289500.000000015</v>
      </c>
      <c r="N124" s="144">
        <v>1</v>
      </c>
      <c r="O124" s="121">
        <v>10</v>
      </c>
      <c r="P124" s="11"/>
      <c r="Q124" s="121"/>
      <c r="R124" s="11"/>
      <c r="S124" s="121"/>
      <c r="T124" s="121"/>
      <c r="U124" s="121"/>
      <c r="V124" s="121"/>
      <c r="W124" s="121"/>
      <c r="X124" s="128"/>
      <c r="Y124" s="128"/>
      <c r="Z124" s="13"/>
    </row>
    <row r="125" spans="1:26" ht="38.25" x14ac:dyDescent="0.25">
      <c r="A125" s="121">
        <v>10</v>
      </c>
      <c r="B125" s="10">
        <f>B124</f>
        <v>5540</v>
      </c>
      <c r="C125" s="121" t="s">
        <v>34</v>
      </c>
      <c r="D125" s="121" t="s">
        <v>35</v>
      </c>
      <c r="E125" s="131" t="s">
        <v>72</v>
      </c>
      <c r="F125" s="144" t="s">
        <v>28</v>
      </c>
      <c r="G125" s="144">
        <v>15</v>
      </c>
      <c r="H125" s="144" t="s">
        <v>36</v>
      </c>
      <c r="I125" s="14" t="s">
        <v>151</v>
      </c>
      <c r="J125" s="144" t="s">
        <v>30</v>
      </c>
      <c r="K125" s="141">
        <f>((9.3*14%)+9.3)*16250</f>
        <v>172282.5</v>
      </c>
      <c r="L125" s="26">
        <f t="shared" si="9"/>
        <v>31010850</v>
      </c>
      <c r="M125" s="141">
        <f t="shared" si="10"/>
        <v>31010850</v>
      </c>
      <c r="N125" s="144">
        <v>1</v>
      </c>
      <c r="O125" s="121">
        <v>10</v>
      </c>
      <c r="P125" s="11"/>
      <c r="Q125" s="121"/>
      <c r="R125" s="11"/>
      <c r="S125" s="121"/>
      <c r="T125" s="121"/>
      <c r="U125" s="121"/>
      <c r="V125" s="121"/>
      <c r="W125" s="121"/>
      <c r="X125" s="128"/>
      <c r="Y125" s="128"/>
      <c r="Z125" s="13"/>
    </row>
    <row r="126" spans="1:26" ht="51" x14ac:dyDescent="0.25">
      <c r="A126" s="67">
        <v>10</v>
      </c>
      <c r="B126" s="10">
        <v>5541</v>
      </c>
      <c r="C126" s="55" t="s">
        <v>25</v>
      </c>
      <c r="D126" s="55" t="s">
        <v>40</v>
      </c>
      <c r="E126" s="55" t="s">
        <v>200</v>
      </c>
      <c r="F126" s="55"/>
      <c r="G126" s="55">
        <v>15</v>
      </c>
      <c r="H126" s="85" t="s">
        <v>29</v>
      </c>
      <c r="I126" s="55" t="s">
        <v>150</v>
      </c>
      <c r="J126" s="55"/>
      <c r="K126" s="58">
        <f>(((4.5*(14+192)%)+4.5)+((10.5*(14+45)%)+10.5))*16250</f>
        <v>495056.25</v>
      </c>
      <c r="L126" s="58">
        <f t="shared" si="9"/>
        <v>89110125</v>
      </c>
      <c r="M126" s="179">
        <f t="shared" si="10"/>
        <v>89110125</v>
      </c>
      <c r="N126" s="180">
        <v>1</v>
      </c>
      <c r="O126" s="55">
        <v>10</v>
      </c>
      <c r="P126" s="55"/>
      <c r="Q126" s="55">
        <v>1100364</v>
      </c>
      <c r="R126" s="83" t="s">
        <v>201</v>
      </c>
      <c r="S126" s="55">
        <v>20</v>
      </c>
      <c r="T126" s="72"/>
      <c r="U126" s="72"/>
      <c r="V126" s="72"/>
      <c r="W126" s="55" t="s">
        <v>202</v>
      </c>
      <c r="X126" s="70">
        <v>41172</v>
      </c>
      <c r="Y126" s="70" t="s">
        <v>276</v>
      </c>
      <c r="Z126" s="68">
        <v>108576000</v>
      </c>
    </row>
    <row r="127" spans="1:26" ht="51" x14ac:dyDescent="0.25">
      <c r="A127" s="67">
        <v>10</v>
      </c>
      <c r="B127" s="10">
        <f>B126</f>
        <v>5541</v>
      </c>
      <c r="C127" s="55" t="s">
        <v>34</v>
      </c>
      <c r="D127" s="55" t="s">
        <v>43</v>
      </c>
      <c r="E127" s="55" t="s">
        <v>200</v>
      </c>
      <c r="F127" s="55"/>
      <c r="G127" s="55">
        <v>15</v>
      </c>
      <c r="H127" s="85" t="s">
        <v>36</v>
      </c>
      <c r="I127" s="55" t="s">
        <v>150</v>
      </c>
      <c r="J127" s="55"/>
      <c r="K127" s="58">
        <f>((9.3*14%)+9.3)*16250</f>
        <v>172282.5</v>
      </c>
      <c r="L127" s="58">
        <f t="shared" si="9"/>
        <v>31010850</v>
      </c>
      <c r="M127" s="179">
        <f t="shared" si="10"/>
        <v>31010850</v>
      </c>
      <c r="N127" s="180">
        <v>1</v>
      </c>
      <c r="O127" s="55">
        <v>10</v>
      </c>
      <c r="P127" s="55"/>
      <c r="Q127" s="55">
        <v>1100365</v>
      </c>
      <c r="R127" s="83" t="s">
        <v>203</v>
      </c>
      <c r="S127" s="55">
        <v>15</v>
      </c>
      <c r="T127" s="72"/>
      <c r="U127" s="72"/>
      <c r="V127" s="72"/>
      <c r="W127" s="55" t="s">
        <v>202</v>
      </c>
      <c r="X127" s="70">
        <v>41172</v>
      </c>
      <c r="Y127" s="70" t="s">
        <v>276</v>
      </c>
      <c r="Z127" s="68">
        <v>34819200</v>
      </c>
    </row>
    <row r="128" spans="1:26" ht="51" x14ac:dyDescent="0.25">
      <c r="A128" s="67">
        <v>10</v>
      </c>
      <c r="B128" s="10">
        <f>B127</f>
        <v>5541</v>
      </c>
      <c r="C128" s="55" t="s">
        <v>34</v>
      </c>
      <c r="D128" s="55" t="s">
        <v>75</v>
      </c>
      <c r="E128" s="55" t="s">
        <v>200</v>
      </c>
      <c r="F128" s="55"/>
      <c r="G128" s="55">
        <v>15</v>
      </c>
      <c r="H128" s="85" t="s">
        <v>36</v>
      </c>
      <c r="I128" s="55" t="s">
        <v>150</v>
      </c>
      <c r="J128" s="55"/>
      <c r="K128" s="58">
        <f>((9.3*14%)+9.3)*16250</f>
        <v>172282.5</v>
      </c>
      <c r="L128" s="58">
        <f t="shared" si="9"/>
        <v>31010850</v>
      </c>
      <c r="M128" s="179">
        <f t="shared" si="10"/>
        <v>31010850</v>
      </c>
      <c r="N128" s="180">
        <v>1</v>
      </c>
      <c r="O128" s="55">
        <v>10</v>
      </c>
      <c r="P128" s="66"/>
      <c r="Q128" s="284" t="s">
        <v>260</v>
      </c>
      <c r="R128" s="285"/>
      <c r="S128" s="285"/>
      <c r="T128" s="285"/>
      <c r="U128" s="285"/>
      <c r="V128" s="285"/>
      <c r="W128" s="285"/>
      <c r="X128" s="285"/>
      <c r="Y128" s="286"/>
      <c r="Z128" s="69"/>
    </row>
    <row r="129" spans="1:26" ht="38.25" x14ac:dyDescent="0.25">
      <c r="A129" s="67">
        <v>10</v>
      </c>
      <c r="B129" s="10">
        <v>5542</v>
      </c>
      <c r="C129" s="55" t="s">
        <v>25</v>
      </c>
      <c r="D129" s="55" t="s">
        <v>40</v>
      </c>
      <c r="E129" s="55" t="s">
        <v>204</v>
      </c>
      <c r="F129" s="55"/>
      <c r="G129" s="55">
        <v>15</v>
      </c>
      <c r="H129" s="85" t="s">
        <v>29</v>
      </c>
      <c r="I129" s="55" t="s">
        <v>265</v>
      </c>
      <c r="J129" s="55"/>
      <c r="K129" s="58">
        <f>(((4.5*(14+192)%)+4.5)+((10.5*(14+45)%)+10.5))*16250</f>
        <v>495056.25</v>
      </c>
      <c r="L129" s="58">
        <f t="shared" si="9"/>
        <v>89110125</v>
      </c>
      <c r="M129" s="179">
        <f t="shared" si="10"/>
        <v>89110125</v>
      </c>
      <c r="N129" s="180">
        <v>1</v>
      </c>
      <c r="O129" s="55">
        <v>10</v>
      </c>
      <c r="P129" s="66"/>
      <c r="Q129" s="55">
        <v>1100498</v>
      </c>
      <c r="R129" s="83" t="s">
        <v>266</v>
      </c>
      <c r="S129" s="55">
        <v>20</v>
      </c>
      <c r="T129" s="67"/>
      <c r="U129" s="67"/>
      <c r="V129" s="67"/>
      <c r="W129" s="55" t="s">
        <v>268</v>
      </c>
      <c r="X129" s="70"/>
      <c r="Y129" s="70" t="s">
        <v>276</v>
      </c>
      <c r="Z129" s="69">
        <v>100386000</v>
      </c>
    </row>
    <row r="130" spans="1:26" ht="38.25" x14ac:dyDescent="0.25">
      <c r="A130" s="67">
        <v>10</v>
      </c>
      <c r="B130" s="10">
        <f>B129</f>
        <v>5542</v>
      </c>
      <c r="C130" s="55" t="s">
        <v>34</v>
      </c>
      <c r="D130" s="55" t="s">
        <v>43</v>
      </c>
      <c r="E130" s="55" t="s">
        <v>204</v>
      </c>
      <c r="F130" s="55"/>
      <c r="G130" s="55">
        <v>15</v>
      </c>
      <c r="H130" s="85" t="s">
        <v>36</v>
      </c>
      <c r="I130" s="55" t="s">
        <v>265</v>
      </c>
      <c r="J130" s="55"/>
      <c r="K130" s="58">
        <f>((9.3*14%)+9.3)*16250</f>
        <v>172282.5</v>
      </c>
      <c r="L130" s="58">
        <f t="shared" si="9"/>
        <v>31010850</v>
      </c>
      <c r="M130" s="179">
        <f t="shared" si="10"/>
        <v>31010850</v>
      </c>
      <c r="N130" s="180">
        <v>1</v>
      </c>
      <c r="O130" s="55">
        <v>10</v>
      </c>
      <c r="P130" s="66"/>
      <c r="Q130" s="55">
        <v>1100499</v>
      </c>
      <c r="R130" s="83" t="s">
        <v>267</v>
      </c>
      <c r="S130" s="55">
        <v>20</v>
      </c>
      <c r="T130" s="67"/>
      <c r="U130" s="67"/>
      <c r="V130" s="67"/>
      <c r="W130" s="55" t="s">
        <v>268</v>
      </c>
      <c r="X130" s="70"/>
      <c r="Y130" s="70" t="s">
        <v>276</v>
      </c>
      <c r="Z130" s="69">
        <v>41347800</v>
      </c>
    </row>
    <row r="131" spans="1:26" ht="38.25" x14ac:dyDescent="0.25">
      <c r="A131" s="67">
        <v>10</v>
      </c>
      <c r="B131" s="10">
        <f>B130</f>
        <v>5542</v>
      </c>
      <c r="C131" s="55" t="s">
        <v>34</v>
      </c>
      <c r="D131" s="55" t="s">
        <v>75</v>
      </c>
      <c r="E131" s="55" t="s">
        <v>204</v>
      </c>
      <c r="F131" s="55"/>
      <c r="G131" s="55">
        <v>15</v>
      </c>
      <c r="H131" s="85" t="s">
        <v>36</v>
      </c>
      <c r="I131" s="55" t="s">
        <v>265</v>
      </c>
      <c r="J131" s="55"/>
      <c r="K131" s="58">
        <f>((9.3*14%)+9.3)*16250</f>
        <v>172282.5</v>
      </c>
      <c r="L131" s="58">
        <f t="shared" si="9"/>
        <v>31010850</v>
      </c>
      <c r="M131" s="179">
        <f t="shared" si="10"/>
        <v>31010850</v>
      </c>
      <c r="N131" s="180">
        <v>1</v>
      </c>
      <c r="O131" s="84"/>
      <c r="P131" s="66"/>
      <c r="Q131" s="284" t="s">
        <v>260</v>
      </c>
      <c r="R131" s="285"/>
      <c r="S131" s="285"/>
      <c r="T131" s="285"/>
      <c r="U131" s="285"/>
      <c r="V131" s="285"/>
      <c r="W131" s="285"/>
      <c r="X131" s="285"/>
      <c r="Y131" s="286"/>
      <c r="Z131" s="69"/>
    </row>
    <row r="132" spans="1:26" ht="102" customHeight="1" x14ac:dyDescent="0.25">
      <c r="A132" s="121">
        <v>11</v>
      </c>
      <c r="B132" s="10">
        <v>5543</v>
      </c>
      <c r="C132" s="121" t="s">
        <v>25</v>
      </c>
      <c r="D132" s="121" t="s">
        <v>46</v>
      </c>
      <c r="E132" s="121" t="s">
        <v>58</v>
      </c>
      <c r="F132" s="121" t="s">
        <v>28</v>
      </c>
      <c r="G132" s="121">
        <v>20</v>
      </c>
      <c r="H132" s="121" t="s">
        <v>29</v>
      </c>
      <c r="I132" s="131" t="s">
        <v>148</v>
      </c>
      <c r="J132" s="144" t="s">
        <v>32</v>
      </c>
      <c r="K132" s="26">
        <f>(((4.5*(84+192)%)+4.5)+((10.5*(84+90)%)+10.5))*16250</f>
        <v>742462.5</v>
      </c>
      <c r="L132" s="26">
        <f t="shared" si="9"/>
        <v>178191000</v>
      </c>
      <c r="M132" s="158">
        <f t="shared" si="10"/>
        <v>178191000</v>
      </c>
      <c r="N132" s="10">
        <v>1</v>
      </c>
      <c r="O132" s="126">
        <v>11</v>
      </c>
      <c r="P132" s="140" t="s">
        <v>46</v>
      </c>
      <c r="Q132" s="121">
        <v>1110131</v>
      </c>
      <c r="R132" s="11" t="s">
        <v>59</v>
      </c>
      <c r="S132" s="121">
        <v>20</v>
      </c>
      <c r="T132" s="121">
        <v>0</v>
      </c>
      <c r="U132" s="121">
        <v>6</v>
      </c>
      <c r="V132" s="121" t="s">
        <v>32</v>
      </c>
      <c r="W132" s="121" t="s">
        <v>58</v>
      </c>
      <c r="X132" s="128">
        <v>42242</v>
      </c>
      <c r="Y132" s="128" t="s">
        <v>60</v>
      </c>
      <c r="Z132" s="13">
        <v>178191000</v>
      </c>
    </row>
    <row r="133" spans="1:26" ht="38.25" x14ac:dyDescent="0.25">
      <c r="A133" s="121">
        <v>11</v>
      </c>
      <c r="B133" s="10">
        <f>B132</f>
        <v>5543</v>
      </c>
      <c r="C133" s="121" t="s">
        <v>34</v>
      </c>
      <c r="D133" s="121" t="s">
        <v>35</v>
      </c>
      <c r="E133" s="121" t="s">
        <v>58</v>
      </c>
      <c r="F133" s="121" t="s">
        <v>28</v>
      </c>
      <c r="G133" s="121">
        <v>20</v>
      </c>
      <c r="H133" s="121" t="s">
        <v>36</v>
      </c>
      <c r="I133" s="131" t="s">
        <v>148</v>
      </c>
      <c r="J133" s="144" t="s">
        <v>32</v>
      </c>
      <c r="K133" s="141">
        <f>((9.3*84%)+9.3)*16250</f>
        <v>278070.00000000006</v>
      </c>
      <c r="L133" s="26">
        <f t="shared" si="9"/>
        <v>66736800.000000015</v>
      </c>
      <c r="M133" s="158">
        <f t="shared" si="10"/>
        <v>66736800.000000015</v>
      </c>
      <c r="N133" s="10">
        <v>1</v>
      </c>
      <c r="O133" s="121">
        <v>11</v>
      </c>
      <c r="P133" s="1" t="s">
        <v>35</v>
      </c>
      <c r="Q133" s="121">
        <v>1110132</v>
      </c>
      <c r="R133" s="11" t="s">
        <v>61</v>
      </c>
      <c r="S133" s="121">
        <v>20</v>
      </c>
      <c r="T133" s="121">
        <v>0</v>
      </c>
      <c r="U133" s="121">
        <v>6</v>
      </c>
      <c r="V133" s="121" t="s">
        <v>32</v>
      </c>
      <c r="W133" s="121" t="s">
        <v>58</v>
      </c>
      <c r="X133" s="128">
        <v>42242</v>
      </c>
      <c r="Y133" s="128" t="s">
        <v>60</v>
      </c>
      <c r="Z133" s="141">
        <v>66736800.000000015</v>
      </c>
    </row>
    <row r="134" spans="1:26" ht="51" x14ac:dyDescent="0.25">
      <c r="A134" s="131">
        <v>12</v>
      </c>
      <c r="B134" s="10">
        <f>B132+1</f>
        <v>5544</v>
      </c>
      <c r="C134" s="131" t="s">
        <v>25</v>
      </c>
      <c r="D134" s="131" t="s">
        <v>41</v>
      </c>
      <c r="E134" s="131" t="s">
        <v>69</v>
      </c>
      <c r="F134" s="131" t="s">
        <v>28</v>
      </c>
      <c r="G134" s="131">
        <v>20</v>
      </c>
      <c r="H134" s="131" t="s">
        <v>29</v>
      </c>
      <c r="I134" s="145" t="s">
        <v>150</v>
      </c>
      <c r="J134" s="144"/>
      <c r="K134" s="26">
        <f>(((4.5*(56+192)%)+4.5)+((10.5*(56+45)%)+10.5))*16250</f>
        <v>597431.25</v>
      </c>
      <c r="L134" s="26">
        <f t="shared" si="9"/>
        <v>143383500</v>
      </c>
      <c r="M134" s="158">
        <f t="shared" si="10"/>
        <v>143383500</v>
      </c>
      <c r="N134" s="10">
        <v>1</v>
      </c>
      <c r="O134" s="131">
        <v>12</v>
      </c>
      <c r="P134" s="7" t="s">
        <v>26</v>
      </c>
      <c r="Q134" s="131">
        <v>1120127</v>
      </c>
      <c r="R134" s="90" t="s">
        <v>70</v>
      </c>
      <c r="S134" s="131">
        <v>50</v>
      </c>
      <c r="T134" s="131"/>
      <c r="U134" s="2"/>
      <c r="V134" s="131"/>
      <c r="W134" s="131" t="s">
        <v>69</v>
      </c>
      <c r="X134" s="153">
        <v>42272</v>
      </c>
      <c r="Y134" s="153" t="s">
        <v>276</v>
      </c>
      <c r="Z134" s="13">
        <v>230947200.00000006</v>
      </c>
    </row>
    <row r="135" spans="1:26" ht="51" x14ac:dyDescent="0.25">
      <c r="A135" s="131">
        <v>12</v>
      </c>
      <c r="B135" s="10">
        <f>B134</f>
        <v>5544</v>
      </c>
      <c r="C135" s="131" t="s">
        <v>34</v>
      </c>
      <c r="D135" s="131" t="s">
        <v>35</v>
      </c>
      <c r="E135" s="131" t="s">
        <v>69</v>
      </c>
      <c r="F135" s="131" t="s">
        <v>28</v>
      </c>
      <c r="G135" s="131">
        <v>20</v>
      </c>
      <c r="H135" s="131" t="s">
        <v>36</v>
      </c>
      <c r="I135" s="14" t="s">
        <v>150</v>
      </c>
      <c r="J135" s="144"/>
      <c r="K135" s="141">
        <f>((9.3*56%)+9.3)*16250</f>
        <v>235755.00000000003</v>
      </c>
      <c r="L135" s="26">
        <f t="shared" si="9"/>
        <v>56581200.000000015</v>
      </c>
      <c r="M135" s="158">
        <f t="shared" si="10"/>
        <v>56581200.000000015</v>
      </c>
      <c r="N135" s="10">
        <v>1</v>
      </c>
      <c r="O135" s="131">
        <v>12</v>
      </c>
      <c r="P135" s="80" t="s">
        <v>35</v>
      </c>
      <c r="Q135" s="131">
        <v>1120128</v>
      </c>
      <c r="R135" s="90" t="s">
        <v>71</v>
      </c>
      <c r="S135" s="131">
        <v>30</v>
      </c>
      <c r="T135" s="131"/>
      <c r="U135" s="2"/>
      <c r="V135" s="131"/>
      <c r="W135" s="131" t="s">
        <v>69</v>
      </c>
      <c r="X135" s="153">
        <v>42272</v>
      </c>
      <c r="Y135" s="153" t="s">
        <v>276</v>
      </c>
      <c r="Z135" s="141">
        <f>K135*S135*12</f>
        <v>84871800.000000015</v>
      </c>
    </row>
    <row r="136" spans="1:26" ht="38.25" x14ac:dyDescent="0.25">
      <c r="A136" s="168">
        <v>13</v>
      </c>
      <c r="B136" s="121">
        <v>5545</v>
      </c>
      <c r="C136" s="7" t="s">
        <v>25</v>
      </c>
      <c r="D136" s="7" t="s">
        <v>46</v>
      </c>
      <c r="E136" s="92" t="s">
        <v>219</v>
      </c>
      <c r="F136" s="131" t="s">
        <v>28</v>
      </c>
      <c r="G136" s="131">
        <v>30</v>
      </c>
      <c r="H136" s="131" t="s">
        <v>29</v>
      </c>
      <c r="I136" s="131" t="s">
        <v>149</v>
      </c>
      <c r="J136" s="131" t="s">
        <v>32</v>
      </c>
      <c r="K136" s="93">
        <f>(((4.5*(0+178+0)%)+4.5)+((10.5*(0+90)%)+10.5))*16250</f>
        <v>527475</v>
      </c>
      <c r="L136" s="93">
        <f t="shared" si="9"/>
        <v>189891000</v>
      </c>
      <c r="M136" s="93">
        <f t="shared" ref="M136:M160" si="11">L136*N136</f>
        <v>189891000</v>
      </c>
      <c r="N136" s="131">
        <v>1</v>
      </c>
      <c r="O136" s="99">
        <v>13</v>
      </c>
      <c r="P136" s="139" t="s">
        <v>272</v>
      </c>
      <c r="Q136" s="99">
        <v>1130548</v>
      </c>
      <c r="R136" s="81" t="s">
        <v>220</v>
      </c>
      <c r="S136" s="139">
        <v>30</v>
      </c>
      <c r="T136" s="36">
        <v>0</v>
      </c>
      <c r="U136" s="36">
        <v>6</v>
      </c>
      <c r="V136" s="99" t="s">
        <v>32</v>
      </c>
      <c r="W136" s="139" t="s">
        <v>219</v>
      </c>
      <c r="X136" s="153">
        <v>38687</v>
      </c>
      <c r="Y136" s="153" t="s">
        <v>60</v>
      </c>
      <c r="Z136" s="93">
        <f>(((4.5*(0+178+0)%)+4.5)+((10.5*(0+130)%)+10.5))*16250*12*S136</f>
        <v>214461000</v>
      </c>
    </row>
    <row r="137" spans="1:26" ht="38.25" x14ac:dyDescent="0.25">
      <c r="A137" s="168">
        <v>13</v>
      </c>
      <c r="B137" s="121">
        <f>B136</f>
        <v>5545</v>
      </c>
      <c r="C137" s="7" t="s">
        <v>34</v>
      </c>
      <c r="D137" s="7" t="s">
        <v>35</v>
      </c>
      <c r="E137" s="92" t="s">
        <v>219</v>
      </c>
      <c r="F137" s="131" t="s">
        <v>28</v>
      </c>
      <c r="G137" s="131">
        <v>30</v>
      </c>
      <c r="H137" s="131" t="s">
        <v>36</v>
      </c>
      <c r="I137" s="131" t="s">
        <v>149</v>
      </c>
      <c r="J137" s="131" t="s">
        <v>32</v>
      </c>
      <c r="K137" s="96">
        <f>((9.3*0%)+9.3)*16250</f>
        <v>151125</v>
      </c>
      <c r="L137" s="93">
        <f t="shared" si="9"/>
        <v>54405000</v>
      </c>
      <c r="M137" s="96">
        <f t="shared" si="11"/>
        <v>54405000</v>
      </c>
      <c r="N137" s="5">
        <v>1</v>
      </c>
      <c r="O137" s="270" t="s">
        <v>273</v>
      </c>
      <c r="P137" s="270"/>
      <c r="Q137" s="270"/>
      <c r="R137" s="270"/>
      <c r="S137" s="270"/>
      <c r="T137" s="271"/>
      <c r="U137" s="271"/>
      <c r="V137" s="271"/>
      <c r="W137" s="271"/>
      <c r="X137" s="271"/>
      <c r="Y137" s="271"/>
      <c r="Z137" s="105">
        <f>L137</f>
        <v>54405000</v>
      </c>
    </row>
    <row r="138" spans="1:26" ht="76.5" x14ac:dyDescent="0.25">
      <c r="A138" s="168">
        <v>13</v>
      </c>
      <c r="B138" s="121">
        <v>5546</v>
      </c>
      <c r="C138" s="7" t="s">
        <v>25</v>
      </c>
      <c r="D138" s="7" t="s">
        <v>26</v>
      </c>
      <c r="E138" s="7" t="s">
        <v>221</v>
      </c>
      <c r="F138" s="131" t="s">
        <v>28</v>
      </c>
      <c r="G138" s="131">
        <v>30</v>
      </c>
      <c r="H138" s="131" t="s">
        <v>29</v>
      </c>
      <c r="I138" s="131" t="s">
        <v>152</v>
      </c>
      <c r="J138" s="131" t="s">
        <v>55</v>
      </c>
      <c r="K138" s="97">
        <f>(((4.5*(0+178+0)%)+4.5)+((10.5*0%)+10.5))*16250</f>
        <v>373912.49999999994</v>
      </c>
      <c r="L138" s="93">
        <f t="shared" si="9"/>
        <v>134608499.99999997</v>
      </c>
      <c r="M138" s="97">
        <f t="shared" si="11"/>
        <v>134608499.99999997</v>
      </c>
      <c r="N138" s="121">
        <v>1</v>
      </c>
      <c r="O138" s="99">
        <v>13</v>
      </c>
      <c r="P138" s="139" t="s">
        <v>128</v>
      </c>
      <c r="Q138" s="99">
        <v>1131059</v>
      </c>
      <c r="R138" s="81" t="s">
        <v>222</v>
      </c>
      <c r="S138" s="139">
        <v>30</v>
      </c>
      <c r="T138" s="36">
        <v>6</v>
      </c>
      <c r="U138" s="36">
        <v>17</v>
      </c>
      <c r="V138" s="99" t="s">
        <v>55</v>
      </c>
      <c r="W138" s="139" t="s">
        <v>221</v>
      </c>
      <c r="X138" s="153">
        <v>40725</v>
      </c>
      <c r="Y138" s="153" t="s">
        <v>60</v>
      </c>
      <c r="Z138" s="93">
        <f>(((4.5*(0+178+0)%)+4.5)+((10.5*0%)+10.5))*16250*12*S138</f>
        <v>134608499.99999997</v>
      </c>
    </row>
    <row r="139" spans="1:26" ht="38.25" x14ac:dyDescent="0.25">
      <c r="A139" s="168">
        <v>13</v>
      </c>
      <c r="B139" s="121">
        <f>B138</f>
        <v>5546</v>
      </c>
      <c r="C139" s="7" t="s">
        <v>34</v>
      </c>
      <c r="D139" s="7" t="s">
        <v>35</v>
      </c>
      <c r="E139" s="7" t="s">
        <v>221</v>
      </c>
      <c r="F139" s="131" t="s">
        <v>28</v>
      </c>
      <c r="G139" s="131">
        <v>30</v>
      </c>
      <c r="H139" s="131" t="s">
        <v>36</v>
      </c>
      <c r="I139" s="131" t="s">
        <v>152</v>
      </c>
      <c r="J139" s="131" t="s">
        <v>55</v>
      </c>
      <c r="K139" s="97">
        <f>((9.3*0%)+9.3)*16250</f>
        <v>151125</v>
      </c>
      <c r="L139" s="93">
        <f t="shared" si="9"/>
        <v>54405000</v>
      </c>
      <c r="M139" s="97">
        <f t="shared" si="11"/>
        <v>54405000</v>
      </c>
      <c r="N139" s="50">
        <v>1</v>
      </c>
      <c r="O139" s="270" t="s">
        <v>273</v>
      </c>
      <c r="P139" s="270"/>
      <c r="Q139" s="270"/>
      <c r="R139" s="270"/>
      <c r="S139" s="270"/>
      <c r="T139" s="271"/>
      <c r="U139" s="271"/>
      <c r="V139" s="271"/>
      <c r="W139" s="271"/>
      <c r="X139" s="271"/>
      <c r="Y139" s="271"/>
      <c r="Z139" s="106">
        <f>L139</f>
        <v>54405000</v>
      </c>
    </row>
    <row r="140" spans="1:26" ht="38.25" x14ac:dyDescent="0.25">
      <c r="A140" s="168">
        <v>13</v>
      </c>
      <c r="B140" s="121">
        <v>5547</v>
      </c>
      <c r="C140" s="7" t="s">
        <v>25</v>
      </c>
      <c r="D140" s="7" t="s">
        <v>26</v>
      </c>
      <c r="E140" s="7" t="s">
        <v>223</v>
      </c>
      <c r="F140" s="131" t="s">
        <v>28</v>
      </c>
      <c r="G140" s="131">
        <v>20</v>
      </c>
      <c r="H140" s="131" t="s">
        <v>29</v>
      </c>
      <c r="I140" s="14" t="s">
        <v>151</v>
      </c>
      <c r="J140" s="131" t="s">
        <v>55</v>
      </c>
      <c r="K140" s="97">
        <f>(((4.5*(0+192)%)+4.5)+((10.5*0%)+10.5))*16250</f>
        <v>384150</v>
      </c>
      <c r="L140" s="93">
        <f t="shared" si="9"/>
        <v>92196000</v>
      </c>
      <c r="M140" s="97">
        <f t="shared" si="11"/>
        <v>92196000</v>
      </c>
      <c r="N140" s="121">
        <v>1</v>
      </c>
      <c r="O140" s="3">
        <v>13</v>
      </c>
      <c r="P140" s="140" t="s">
        <v>26</v>
      </c>
      <c r="Q140" s="3">
        <v>1131082</v>
      </c>
      <c r="R140" s="4" t="s">
        <v>224</v>
      </c>
      <c r="S140" s="140">
        <v>20</v>
      </c>
      <c r="T140" s="129"/>
      <c r="U140" s="129"/>
      <c r="V140" s="140"/>
      <c r="W140" s="4"/>
      <c r="X140" s="129">
        <v>40830</v>
      </c>
      <c r="Y140" s="153" t="s">
        <v>60</v>
      </c>
      <c r="Z140" s="93">
        <f>(((4.5*(0+178+0)%)+4.5)+((10.5*(0+90)%)+10.5))*16250*12*S140</f>
        <v>126594000</v>
      </c>
    </row>
    <row r="141" spans="1:26" ht="38.25" x14ac:dyDescent="0.25">
      <c r="A141" s="168">
        <v>13</v>
      </c>
      <c r="B141" s="121">
        <f>B140</f>
        <v>5547</v>
      </c>
      <c r="C141" s="7" t="s">
        <v>34</v>
      </c>
      <c r="D141" s="7" t="s">
        <v>35</v>
      </c>
      <c r="E141" s="7" t="s">
        <v>223</v>
      </c>
      <c r="F141" s="131" t="s">
        <v>28</v>
      </c>
      <c r="G141" s="131">
        <v>20</v>
      </c>
      <c r="H141" s="131" t="s">
        <v>36</v>
      </c>
      <c r="I141" s="14" t="s">
        <v>151</v>
      </c>
      <c r="J141" s="131" t="s">
        <v>55</v>
      </c>
      <c r="K141" s="97">
        <f>((9.3*0%)+9.3)*16250</f>
        <v>151125</v>
      </c>
      <c r="L141" s="93">
        <f t="shared" si="9"/>
        <v>36270000</v>
      </c>
      <c r="M141" s="97">
        <f t="shared" si="11"/>
        <v>36270000</v>
      </c>
      <c r="N141" s="121">
        <v>1</v>
      </c>
      <c r="O141" s="6">
        <v>13</v>
      </c>
      <c r="P141" s="7" t="s">
        <v>35</v>
      </c>
      <c r="Q141" s="7">
        <v>1131083</v>
      </c>
      <c r="R141" s="8" t="s">
        <v>225</v>
      </c>
      <c r="S141" s="7">
        <v>10</v>
      </c>
      <c r="T141" s="9"/>
      <c r="U141" s="9"/>
      <c r="V141" s="7"/>
      <c r="W141" s="8"/>
      <c r="X141" s="9">
        <v>40830</v>
      </c>
      <c r="Y141" s="153" t="s">
        <v>60</v>
      </c>
      <c r="Z141" s="97">
        <f>((9.3*0%)+9.3)*16250*12*S141</f>
        <v>18135000</v>
      </c>
    </row>
    <row r="142" spans="1:26" ht="51" x14ac:dyDescent="0.25">
      <c r="A142" s="168">
        <v>13</v>
      </c>
      <c r="B142" s="121">
        <v>5548</v>
      </c>
      <c r="C142" s="7" t="s">
        <v>25</v>
      </c>
      <c r="D142" s="7" t="s">
        <v>41</v>
      </c>
      <c r="E142" s="7" t="s">
        <v>226</v>
      </c>
      <c r="F142" s="131" t="s">
        <v>28</v>
      </c>
      <c r="G142" s="131">
        <v>10</v>
      </c>
      <c r="H142" s="131" t="s">
        <v>29</v>
      </c>
      <c r="I142" s="14" t="s">
        <v>150</v>
      </c>
      <c r="J142" s="131" t="s">
        <v>30</v>
      </c>
      <c r="K142" s="93">
        <f>(((4.5*(0+192+0)%)+4.5)+((10.5*(0+45)%)+10.5))*16250</f>
        <v>460931.25000000006</v>
      </c>
      <c r="L142" s="93">
        <f t="shared" si="9"/>
        <v>55311750.000000015</v>
      </c>
      <c r="M142" s="97">
        <f t="shared" si="11"/>
        <v>55311750.000000015</v>
      </c>
      <c r="N142" s="121">
        <v>1</v>
      </c>
      <c r="O142" s="6">
        <v>13</v>
      </c>
      <c r="P142" s="7" t="s">
        <v>26</v>
      </c>
      <c r="Q142" s="7">
        <v>1131976</v>
      </c>
      <c r="R142" s="8" t="s">
        <v>227</v>
      </c>
      <c r="S142" s="1">
        <v>16</v>
      </c>
      <c r="T142" s="7">
        <v>6</v>
      </c>
      <c r="U142" s="7">
        <v>18</v>
      </c>
      <c r="V142" s="7" t="s">
        <v>30</v>
      </c>
      <c r="W142" s="7" t="s">
        <v>228</v>
      </c>
      <c r="X142" s="9">
        <v>40817</v>
      </c>
      <c r="Y142" s="153" t="s">
        <v>60</v>
      </c>
      <c r="Z142" s="93">
        <f>(((4.5*(0+192+0)%)+4.5)+((10.5*(0+45)%)+10.5))*16250*12*S142</f>
        <v>88498800.000000015</v>
      </c>
    </row>
    <row r="143" spans="1:26" ht="51" x14ac:dyDescent="0.25">
      <c r="A143" s="168">
        <v>13</v>
      </c>
      <c r="B143" s="121">
        <f>B142</f>
        <v>5548</v>
      </c>
      <c r="C143" s="7" t="s">
        <v>34</v>
      </c>
      <c r="D143" s="7" t="s">
        <v>35</v>
      </c>
      <c r="E143" s="7" t="s">
        <v>226</v>
      </c>
      <c r="F143" s="131" t="s">
        <v>28</v>
      </c>
      <c r="G143" s="131">
        <v>10</v>
      </c>
      <c r="H143" s="131" t="s">
        <v>36</v>
      </c>
      <c r="I143" s="14" t="s">
        <v>150</v>
      </c>
      <c r="J143" s="131" t="s">
        <v>30</v>
      </c>
      <c r="K143" s="97">
        <f>((9.3*0%)+9.3)*16250</f>
        <v>151125</v>
      </c>
      <c r="L143" s="93">
        <f t="shared" si="9"/>
        <v>18135000</v>
      </c>
      <c r="M143" s="97">
        <f t="shared" si="11"/>
        <v>18135000</v>
      </c>
      <c r="N143" s="121">
        <v>1</v>
      </c>
      <c r="O143" s="6">
        <v>13</v>
      </c>
      <c r="P143" s="7" t="s">
        <v>35</v>
      </c>
      <c r="Q143" s="7">
        <v>1131975</v>
      </c>
      <c r="R143" s="8" t="s">
        <v>229</v>
      </c>
      <c r="S143" s="7">
        <v>8</v>
      </c>
      <c r="T143" s="7">
        <v>6</v>
      </c>
      <c r="U143" s="7">
        <v>18</v>
      </c>
      <c r="V143" s="7" t="s">
        <v>30</v>
      </c>
      <c r="W143" s="7" t="s">
        <v>228</v>
      </c>
      <c r="X143" s="9">
        <v>40817</v>
      </c>
      <c r="Y143" s="153" t="s">
        <v>60</v>
      </c>
      <c r="Z143" s="97">
        <f>((9.3*0%)+9.3)*16250*12*S143</f>
        <v>14508000</v>
      </c>
    </row>
    <row r="144" spans="1:26" ht="51" x14ac:dyDescent="0.25">
      <c r="A144" s="168">
        <v>13</v>
      </c>
      <c r="B144" s="121">
        <v>5549</v>
      </c>
      <c r="C144" s="7" t="s">
        <v>25</v>
      </c>
      <c r="D144" s="7" t="s">
        <v>41</v>
      </c>
      <c r="E144" s="7" t="s">
        <v>230</v>
      </c>
      <c r="F144" s="131" t="s">
        <v>28</v>
      </c>
      <c r="G144" s="131">
        <v>12</v>
      </c>
      <c r="H144" s="131" t="s">
        <v>29</v>
      </c>
      <c r="I144" s="14" t="s">
        <v>150</v>
      </c>
      <c r="J144" s="131" t="s">
        <v>55</v>
      </c>
      <c r="K144" s="97">
        <f>(((4.5*(0+192)%)+4.5)+((10.5*0%)+10.5))*16250</f>
        <v>384150</v>
      </c>
      <c r="L144" s="93">
        <f t="shared" si="9"/>
        <v>55317600</v>
      </c>
      <c r="M144" s="97">
        <f t="shared" si="11"/>
        <v>55317600</v>
      </c>
      <c r="N144" s="121">
        <v>1</v>
      </c>
      <c r="O144" s="6">
        <v>13</v>
      </c>
      <c r="P144" s="7" t="s">
        <v>26</v>
      </c>
      <c r="Q144" s="7">
        <v>1131113</v>
      </c>
      <c r="R144" s="8" t="s">
        <v>231</v>
      </c>
      <c r="S144" s="7">
        <v>16</v>
      </c>
      <c r="T144" s="7">
        <v>6</v>
      </c>
      <c r="U144" s="7">
        <v>18</v>
      </c>
      <c r="V144" s="7" t="s">
        <v>55</v>
      </c>
      <c r="W144" s="7" t="s">
        <v>230</v>
      </c>
      <c r="X144" s="9">
        <v>40817</v>
      </c>
      <c r="Y144" s="153" t="s">
        <v>60</v>
      </c>
      <c r="Z144" s="97">
        <f>(((4.5*(0+192)%)+4.5)+((10.5*0%)+10.5))*16250*12*S144</f>
        <v>73756800</v>
      </c>
    </row>
    <row r="145" spans="1:26" ht="51" x14ac:dyDescent="0.25">
      <c r="A145" s="168">
        <v>13</v>
      </c>
      <c r="B145" s="121">
        <f>B144</f>
        <v>5549</v>
      </c>
      <c r="C145" s="7" t="s">
        <v>34</v>
      </c>
      <c r="D145" s="7" t="s">
        <v>35</v>
      </c>
      <c r="E145" s="7" t="s">
        <v>230</v>
      </c>
      <c r="F145" s="131" t="s">
        <v>28</v>
      </c>
      <c r="G145" s="131">
        <v>12</v>
      </c>
      <c r="H145" s="131" t="s">
        <v>36</v>
      </c>
      <c r="I145" s="14" t="s">
        <v>150</v>
      </c>
      <c r="J145" s="131" t="s">
        <v>55</v>
      </c>
      <c r="K145" s="97">
        <f>((9.3*0%)+9.3)*16250</f>
        <v>151125</v>
      </c>
      <c r="L145" s="93">
        <f t="shared" si="9"/>
        <v>21762000</v>
      </c>
      <c r="M145" s="97">
        <f t="shared" si="11"/>
        <v>21762000</v>
      </c>
      <c r="N145" s="121">
        <v>1</v>
      </c>
      <c r="O145" s="6">
        <v>13</v>
      </c>
      <c r="P145" s="7" t="s">
        <v>35</v>
      </c>
      <c r="Q145" s="7">
        <v>1131114</v>
      </c>
      <c r="R145" s="8" t="s">
        <v>232</v>
      </c>
      <c r="S145" s="138">
        <v>8</v>
      </c>
      <c r="T145" s="138">
        <v>6</v>
      </c>
      <c r="U145" s="138">
        <v>18</v>
      </c>
      <c r="V145" s="138" t="s">
        <v>55</v>
      </c>
      <c r="W145" s="7" t="s">
        <v>230</v>
      </c>
      <c r="X145" s="9">
        <v>40817</v>
      </c>
      <c r="Y145" s="153" t="s">
        <v>60</v>
      </c>
      <c r="Z145" s="97">
        <f>((9.3*0%)+9.3)*16250*12*S145</f>
        <v>14508000</v>
      </c>
    </row>
    <row r="146" spans="1:26" ht="38.25" x14ac:dyDescent="0.25">
      <c r="A146" s="168">
        <v>13</v>
      </c>
      <c r="B146" s="121">
        <v>5550</v>
      </c>
      <c r="C146" s="7" t="s">
        <v>25</v>
      </c>
      <c r="D146" s="7" t="s">
        <v>128</v>
      </c>
      <c r="E146" s="7" t="s">
        <v>205</v>
      </c>
      <c r="F146" s="131" t="s">
        <v>28</v>
      </c>
      <c r="G146" s="131">
        <v>16</v>
      </c>
      <c r="H146" s="131" t="s">
        <v>29</v>
      </c>
      <c r="I146" s="131" t="s">
        <v>152</v>
      </c>
      <c r="J146" s="131" t="s">
        <v>30</v>
      </c>
      <c r="K146" s="97">
        <f>(((4.5*(0+192)%)+4.5)+((10.5*0%)+10.5))*16250</f>
        <v>384150</v>
      </c>
      <c r="L146" s="93">
        <f t="shared" si="9"/>
        <v>73756800</v>
      </c>
      <c r="M146" s="97">
        <f t="shared" si="11"/>
        <v>73756800</v>
      </c>
      <c r="N146" s="121">
        <v>1</v>
      </c>
      <c r="O146" s="6">
        <v>13</v>
      </c>
      <c r="P146" s="7" t="s">
        <v>128</v>
      </c>
      <c r="Q146" s="7">
        <v>1131126</v>
      </c>
      <c r="R146" s="94" t="s">
        <v>233</v>
      </c>
      <c r="S146" s="121">
        <v>16</v>
      </c>
      <c r="T146" s="121">
        <v>6</v>
      </c>
      <c r="U146" s="121">
        <v>18</v>
      </c>
      <c r="V146" s="121" t="s">
        <v>30</v>
      </c>
      <c r="W146" s="6" t="s">
        <v>205</v>
      </c>
      <c r="X146" s="9">
        <v>40909</v>
      </c>
      <c r="Y146" s="153" t="s">
        <v>60</v>
      </c>
      <c r="Z146" s="97">
        <f>(((4.5*(0+192)%)+4.5)+((10.5*0%)+10.5))*16250*12*S146</f>
        <v>73756800</v>
      </c>
    </row>
    <row r="147" spans="1:26" ht="38.25" x14ac:dyDescent="0.25">
      <c r="A147" s="168">
        <v>13</v>
      </c>
      <c r="B147" s="121">
        <v>5551</v>
      </c>
      <c r="C147" s="7" t="s">
        <v>25</v>
      </c>
      <c r="D147" s="7" t="s">
        <v>26</v>
      </c>
      <c r="E147" s="121" t="s">
        <v>235</v>
      </c>
      <c r="F147" s="131" t="s">
        <v>28</v>
      </c>
      <c r="G147" s="131">
        <v>20</v>
      </c>
      <c r="H147" s="131" t="s">
        <v>29</v>
      </c>
      <c r="I147" s="14" t="s">
        <v>151</v>
      </c>
      <c r="J147" s="131" t="s">
        <v>30</v>
      </c>
      <c r="K147" s="97">
        <f>(((4.5*(0+192)%)+4.5)+((10.5*0%)+10.5))*16250</f>
        <v>384150</v>
      </c>
      <c r="L147" s="93">
        <f t="shared" si="9"/>
        <v>92196000</v>
      </c>
      <c r="M147" s="97">
        <f t="shared" si="11"/>
        <v>92196000</v>
      </c>
      <c r="N147" s="121">
        <v>1</v>
      </c>
      <c r="O147" s="6">
        <v>13</v>
      </c>
      <c r="P147" s="7" t="s">
        <v>128</v>
      </c>
      <c r="Q147" s="7">
        <v>1131200</v>
      </c>
      <c r="R147" s="94" t="s">
        <v>236</v>
      </c>
      <c r="S147" s="147">
        <v>20</v>
      </c>
      <c r="T147" s="99">
        <v>6</v>
      </c>
      <c r="U147" s="139">
        <v>18</v>
      </c>
      <c r="V147" s="121" t="s">
        <v>30</v>
      </c>
      <c r="W147" s="138" t="s">
        <v>235</v>
      </c>
      <c r="X147" s="9">
        <v>41157</v>
      </c>
      <c r="Y147" s="153" t="s">
        <v>60</v>
      </c>
      <c r="Z147" s="97">
        <f>(((4.5*(0+192)%)+4.5)+((10.5*0%)+10.5))*16250*12*S147</f>
        <v>92196000</v>
      </c>
    </row>
    <row r="148" spans="1:26" ht="38.25" x14ac:dyDescent="0.25">
      <c r="A148" s="168">
        <v>13</v>
      </c>
      <c r="B148" s="121">
        <f>B147</f>
        <v>5551</v>
      </c>
      <c r="C148" s="7" t="s">
        <v>34</v>
      </c>
      <c r="D148" s="7" t="s">
        <v>35</v>
      </c>
      <c r="E148" s="121" t="s">
        <v>235</v>
      </c>
      <c r="F148" s="131" t="s">
        <v>28</v>
      </c>
      <c r="G148" s="131">
        <v>20</v>
      </c>
      <c r="H148" s="131" t="s">
        <v>36</v>
      </c>
      <c r="I148" s="14" t="s">
        <v>151</v>
      </c>
      <c r="J148" s="131" t="s">
        <v>30</v>
      </c>
      <c r="K148" s="97">
        <f>((9.3*0%)+9.3)*16250</f>
        <v>151125</v>
      </c>
      <c r="L148" s="93">
        <f t="shared" si="9"/>
        <v>36270000</v>
      </c>
      <c r="M148" s="97">
        <f t="shared" si="11"/>
        <v>36270000</v>
      </c>
      <c r="N148" s="121">
        <v>1</v>
      </c>
      <c r="O148" s="6">
        <v>13</v>
      </c>
      <c r="P148" s="7" t="s">
        <v>35</v>
      </c>
      <c r="Q148" s="7">
        <v>1131409</v>
      </c>
      <c r="R148" s="8" t="s">
        <v>237</v>
      </c>
      <c r="S148" s="7">
        <v>20</v>
      </c>
      <c r="T148" s="7">
        <v>6</v>
      </c>
      <c r="U148" s="7">
        <v>17</v>
      </c>
      <c r="V148" s="7" t="s">
        <v>30</v>
      </c>
      <c r="W148" s="7" t="s">
        <v>235</v>
      </c>
      <c r="X148" s="9">
        <v>41964</v>
      </c>
      <c r="Y148" s="153" t="s">
        <v>60</v>
      </c>
      <c r="Z148" s="97">
        <f>((9.3*0%)+9.3)*16250*12*S148</f>
        <v>36270000</v>
      </c>
    </row>
    <row r="149" spans="1:26" ht="51" x14ac:dyDescent="0.25">
      <c r="A149" s="168">
        <v>13</v>
      </c>
      <c r="B149" s="121">
        <v>5552</v>
      </c>
      <c r="C149" s="7" t="s">
        <v>25</v>
      </c>
      <c r="D149" s="7" t="s">
        <v>26</v>
      </c>
      <c r="E149" s="7" t="s">
        <v>238</v>
      </c>
      <c r="F149" s="131" t="s">
        <v>28</v>
      </c>
      <c r="G149" s="131">
        <v>20</v>
      </c>
      <c r="H149" s="131" t="s">
        <v>29</v>
      </c>
      <c r="I149" s="14" t="s">
        <v>150</v>
      </c>
      <c r="J149" s="131" t="s">
        <v>30</v>
      </c>
      <c r="K149" s="97">
        <f>(((4.5*(0+192)%)+4.5)+((10.5*0%)+10.5))*16250</f>
        <v>384150</v>
      </c>
      <c r="L149" s="93">
        <f t="shared" si="9"/>
        <v>92196000</v>
      </c>
      <c r="M149" s="97">
        <f t="shared" si="11"/>
        <v>92196000</v>
      </c>
      <c r="N149" s="121">
        <v>1</v>
      </c>
      <c r="O149" s="6">
        <v>13</v>
      </c>
      <c r="P149" s="138" t="s">
        <v>128</v>
      </c>
      <c r="Q149" s="138">
        <v>1131225</v>
      </c>
      <c r="R149" s="108" t="s">
        <v>239</v>
      </c>
      <c r="S149" s="138">
        <v>20</v>
      </c>
      <c r="T149" s="122">
        <v>6</v>
      </c>
      <c r="U149" s="112">
        <v>18</v>
      </c>
      <c r="V149" s="149" t="s">
        <v>30</v>
      </c>
      <c r="W149" s="149" t="s">
        <v>238</v>
      </c>
      <c r="X149" s="150">
        <v>41249</v>
      </c>
      <c r="Y149" s="153" t="s">
        <v>60</v>
      </c>
      <c r="Z149" s="97">
        <f>(((4.5*(0+192)%)+4.5)+((10.5*0%)+10.5))*16250*12*S149</f>
        <v>92196000</v>
      </c>
    </row>
    <row r="150" spans="1:26" ht="51" x14ac:dyDescent="0.25">
      <c r="A150" s="172">
        <v>13</v>
      </c>
      <c r="B150" s="131">
        <v>5552</v>
      </c>
      <c r="C150" s="1" t="s">
        <v>34</v>
      </c>
      <c r="D150" s="1" t="s">
        <v>35</v>
      </c>
      <c r="E150" s="1" t="s">
        <v>238</v>
      </c>
      <c r="F150" s="131" t="s">
        <v>28</v>
      </c>
      <c r="G150" s="131">
        <v>20</v>
      </c>
      <c r="H150" s="131" t="s">
        <v>36</v>
      </c>
      <c r="I150" s="14" t="s">
        <v>150</v>
      </c>
      <c r="J150" s="131" t="s">
        <v>30</v>
      </c>
      <c r="K150" s="96">
        <f>((9.3*0%)+9.3)*16250</f>
        <v>151125</v>
      </c>
      <c r="L150" s="93">
        <f t="shared" si="9"/>
        <v>36270000</v>
      </c>
      <c r="M150" s="97">
        <f t="shared" si="11"/>
        <v>36270000</v>
      </c>
      <c r="N150" s="121">
        <v>1</v>
      </c>
      <c r="O150" s="49">
        <v>13</v>
      </c>
      <c r="P150" s="270" t="s">
        <v>274</v>
      </c>
      <c r="Q150" s="270"/>
      <c r="R150" s="270"/>
      <c r="S150" s="270"/>
      <c r="T150" s="271"/>
      <c r="U150" s="271"/>
      <c r="V150" s="271"/>
      <c r="W150" s="271"/>
      <c r="X150" s="271"/>
      <c r="Y150" s="271"/>
      <c r="Z150" s="107">
        <f>L150</f>
        <v>36270000</v>
      </c>
    </row>
    <row r="151" spans="1:26" ht="51" x14ac:dyDescent="0.25">
      <c r="A151" s="168">
        <v>13</v>
      </c>
      <c r="B151" s="121">
        <v>5553</v>
      </c>
      <c r="C151" s="7" t="s">
        <v>25</v>
      </c>
      <c r="D151" s="7" t="s">
        <v>26</v>
      </c>
      <c r="E151" s="7" t="s">
        <v>240</v>
      </c>
      <c r="F151" s="131" t="s">
        <v>28</v>
      </c>
      <c r="G151" s="131">
        <v>20</v>
      </c>
      <c r="H151" s="131" t="s">
        <v>29</v>
      </c>
      <c r="I151" s="14" t="s">
        <v>150</v>
      </c>
      <c r="J151" s="131" t="s">
        <v>55</v>
      </c>
      <c r="K151" s="97">
        <f>(((4.5*(0+192)%)+4.5)+((10.5*0%)+10.5))*16250</f>
        <v>384150</v>
      </c>
      <c r="L151" s="93">
        <f t="shared" si="9"/>
        <v>92196000</v>
      </c>
      <c r="M151" s="97">
        <f t="shared" si="11"/>
        <v>92196000</v>
      </c>
      <c r="N151" s="121">
        <v>1</v>
      </c>
      <c r="O151" s="6">
        <v>13</v>
      </c>
      <c r="P151" s="140" t="s">
        <v>26</v>
      </c>
      <c r="Q151" s="140">
        <v>1131286</v>
      </c>
      <c r="R151" s="4" t="s">
        <v>241</v>
      </c>
      <c r="S151" s="140">
        <v>20</v>
      </c>
      <c r="T151" s="140">
        <v>6</v>
      </c>
      <c r="U151" s="140">
        <v>18</v>
      </c>
      <c r="V151" s="140" t="s">
        <v>55</v>
      </c>
      <c r="W151" s="140" t="s">
        <v>240</v>
      </c>
      <c r="X151" s="129">
        <v>41521</v>
      </c>
      <c r="Y151" s="153" t="s">
        <v>60</v>
      </c>
      <c r="Z151" s="97">
        <f>(((4.5*(0+192)%)+4.5)+((10.5*0%)+10.5))*16250*12*S151</f>
        <v>92196000</v>
      </c>
    </row>
    <row r="152" spans="1:26" ht="51" x14ac:dyDescent="0.25">
      <c r="A152" s="168">
        <v>13</v>
      </c>
      <c r="B152" s="121">
        <f>B151</f>
        <v>5553</v>
      </c>
      <c r="C152" s="7" t="s">
        <v>34</v>
      </c>
      <c r="D152" s="7" t="s">
        <v>35</v>
      </c>
      <c r="E152" s="7" t="s">
        <v>240</v>
      </c>
      <c r="F152" s="131" t="s">
        <v>28</v>
      </c>
      <c r="G152" s="131">
        <v>20</v>
      </c>
      <c r="H152" s="131" t="s">
        <v>36</v>
      </c>
      <c r="I152" s="14" t="s">
        <v>150</v>
      </c>
      <c r="J152" s="131" t="s">
        <v>55</v>
      </c>
      <c r="K152" s="97">
        <f>((9.3*0%)+9.3)*16250</f>
        <v>151125</v>
      </c>
      <c r="L152" s="93">
        <f t="shared" si="9"/>
        <v>36270000</v>
      </c>
      <c r="M152" s="97">
        <f t="shared" si="11"/>
        <v>36270000</v>
      </c>
      <c r="N152" s="121">
        <v>1</v>
      </c>
      <c r="O152" s="6">
        <v>13</v>
      </c>
      <c r="P152" s="7" t="s">
        <v>35</v>
      </c>
      <c r="Q152" s="7">
        <v>1131287</v>
      </c>
      <c r="R152" s="8" t="s">
        <v>242</v>
      </c>
      <c r="S152" s="7">
        <v>16</v>
      </c>
      <c r="T152" s="7">
        <v>6</v>
      </c>
      <c r="U152" s="7">
        <v>18</v>
      </c>
      <c r="V152" s="7" t="s">
        <v>55</v>
      </c>
      <c r="W152" s="7" t="s">
        <v>240</v>
      </c>
      <c r="X152" s="9">
        <v>41521</v>
      </c>
      <c r="Y152" s="153" t="s">
        <v>60</v>
      </c>
      <c r="Z152" s="97">
        <f>((9.3*0%)+9.3)*16250*12*S152</f>
        <v>29016000</v>
      </c>
    </row>
    <row r="153" spans="1:26" ht="51" x14ac:dyDescent="0.25">
      <c r="A153" s="168">
        <v>13</v>
      </c>
      <c r="B153" s="121">
        <v>5554</v>
      </c>
      <c r="C153" s="7" t="s">
        <v>25</v>
      </c>
      <c r="D153" s="7" t="s">
        <v>26</v>
      </c>
      <c r="E153" s="7" t="s">
        <v>243</v>
      </c>
      <c r="F153" s="131" t="s">
        <v>28</v>
      </c>
      <c r="G153" s="131">
        <v>40</v>
      </c>
      <c r="H153" s="131" t="s">
        <v>29</v>
      </c>
      <c r="I153" s="14" t="s">
        <v>150</v>
      </c>
      <c r="J153" s="131" t="s">
        <v>55</v>
      </c>
      <c r="K153" s="97">
        <f>(((4.5*(0+178+0)%)+4.5)+((10.5*0%)+10.5))*16250</f>
        <v>373912.49999999994</v>
      </c>
      <c r="L153" s="93">
        <f t="shared" si="9"/>
        <v>179477999.99999997</v>
      </c>
      <c r="M153" s="97">
        <f t="shared" si="11"/>
        <v>179477999.99999997</v>
      </c>
      <c r="N153" s="121">
        <v>1</v>
      </c>
      <c r="O153" s="6">
        <v>13</v>
      </c>
      <c r="P153" s="7" t="s">
        <v>26</v>
      </c>
      <c r="Q153" s="7">
        <v>1131061</v>
      </c>
      <c r="R153" s="8" t="s">
        <v>244</v>
      </c>
      <c r="S153" s="7">
        <v>40</v>
      </c>
      <c r="T153" s="7"/>
      <c r="U153" s="7"/>
      <c r="V153" s="7"/>
      <c r="W153" s="7" t="s">
        <v>243</v>
      </c>
      <c r="X153" s="9">
        <v>40725</v>
      </c>
      <c r="Y153" s="153" t="s">
        <v>60</v>
      </c>
      <c r="Z153" s="97">
        <f>(((4.5*(0+178+0)%)+4.5)+((10.5*0%)+10.5))*16250*12*S153</f>
        <v>179477999.99999997</v>
      </c>
    </row>
    <row r="154" spans="1:26" ht="51" x14ac:dyDescent="0.25">
      <c r="A154" s="168">
        <v>13</v>
      </c>
      <c r="B154" s="121">
        <f>B153</f>
        <v>5554</v>
      </c>
      <c r="C154" s="7" t="s">
        <v>34</v>
      </c>
      <c r="D154" s="7" t="s">
        <v>35</v>
      </c>
      <c r="E154" s="7" t="s">
        <v>243</v>
      </c>
      <c r="F154" s="131" t="s">
        <v>28</v>
      </c>
      <c r="G154" s="131">
        <v>40</v>
      </c>
      <c r="H154" s="131" t="s">
        <v>36</v>
      </c>
      <c r="I154" s="14" t="s">
        <v>150</v>
      </c>
      <c r="J154" s="131" t="s">
        <v>55</v>
      </c>
      <c r="K154" s="97">
        <f>((9.3*0%)+9.3)*16250</f>
        <v>151125</v>
      </c>
      <c r="L154" s="93">
        <f t="shared" si="9"/>
        <v>72540000</v>
      </c>
      <c r="M154" s="97">
        <f t="shared" si="11"/>
        <v>72540000</v>
      </c>
      <c r="N154" s="121">
        <v>1</v>
      </c>
      <c r="O154" s="6">
        <v>13</v>
      </c>
      <c r="P154" s="7" t="s">
        <v>35</v>
      </c>
      <c r="Q154" s="7">
        <v>1131062</v>
      </c>
      <c r="R154" s="8" t="s">
        <v>245</v>
      </c>
      <c r="S154" s="7">
        <v>21</v>
      </c>
      <c r="T154" s="7"/>
      <c r="U154" s="7"/>
      <c r="V154" s="7"/>
      <c r="W154" s="7" t="s">
        <v>243</v>
      </c>
      <c r="X154" s="9">
        <v>40725</v>
      </c>
      <c r="Y154" s="153" t="s">
        <v>60</v>
      </c>
      <c r="Z154" s="97">
        <f>((9.3*0%)+9.3)*16250*12*S154</f>
        <v>38083500</v>
      </c>
    </row>
    <row r="155" spans="1:26" ht="38.25" x14ac:dyDescent="0.25">
      <c r="A155" s="168">
        <v>13</v>
      </c>
      <c r="B155" s="121">
        <v>5555</v>
      </c>
      <c r="C155" s="7" t="s">
        <v>25</v>
      </c>
      <c r="D155" s="7" t="s">
        <v>26</v>
      </c>
      <c r="E155" s="7" t="s">
        <v>243</v>
      </c>
      <c r="F155" s="131" t="s">
        <v>28</v>
      </c>
      <c r="G155" s="131">
        <v>40</v>
      </c>
      <c r="H155" s="131" t="s">
        <v>29</v>
      </c>
      <c r="I155" s="131" t="s">
        <v>152</v>
      </c>
      <c r="J155" s="131" t="s">
        <v>55</v>
      </c>
      <c r="K155" s="97">
        <f>(((4.5*(0+178+0)%)+4.5)+((10.5*0%)+10.5))*16250</f>
        <v>373912.49999999994</v>
      </c>
      <c r="L155" s="93">
        <f t="shared" si="9"/>
        <v>179477999.99999997</v>
      </c>
      <c r="M155" s="97">
        <f t="shared" si="11"/>
        <v>179477999.99999997</v>
      </c>
      <c r="N155" s="121">
        <v>1</v>
      </c>
      <c r="O155" s="6">
        <v>13</v>
      </c>
      <c r="P155" s="7" t="s">
        <v>26</v>
      </c>
      <c r="Q155" s="7">
        <v>1131312</v>
      </c>
      <c r="R155" s="8" t="s">
        <v>246</v>
      </c>
      <c r="S155" s="7">
        <v>74</v>
      </c>
      <c r="T155" s="7">
        <v>6</v>
      </c>
      <c r="U155" s="7">
        <v>17</v>
      </c>
      <c r="V155" s="7" t="s">
        <v>55</v>
      </c>
      <c r="W155" s="7" t="s">
        <v>243</v>
      </c>
      <c r="X155" s="9">
        <v>41603</v>
      </c>
      <c r="Y155" s="153" t="s">
        <v>60</v>
      </c>
      <c r="Z155" s="97">
        <f>(((4.5*(0+0+0)%)+4.5)+((10.5*0%)+10.5))*16250*12*S155</f>
        <v>216450000</v>
      </c>
    </row>
    <row r="156" spans="1:26" ht="38.25" x14ac:dyDescent="0.25">
      <c r="A156" s="168">
        <v>13</v>
      </c>
      <c r="B156" s="121">
        <f>B155</f>
        <v>5555</v>
      </c>
      <c r="C156" s="7" t="s">
        <v>34</v>
      </c>
      <c r="D156" s="7" t="s">
        <v>35</v>
      </c>
      <c r="E156" s="7" t="s">
        <v>243</v>
      </c>
      <c r="F156" s="131" t="s">
        <v>28</v>
      </c>
      <c r="G156" s="131">
        <v>40</v>
      </c>
      <c r="H156" s="131" t="s">
        <v>36</v>
      </c>
      <c r="I156" s="131" t="s">
        <v>152</v>
      </c>
      <c r="J156" s="131" t="s">
        <v>55</v>
      </c>
      <c r="K156" s="97">
        <f>((9.3*0%)+9.3)*16250</f>
        <v>151125</v>
      </c>
      <c r="L156" s="93">
        <f t="shared" si="9"/>
        <v>72540000</v>
      </c>
      <c r="M156" s="97">
        <f t="shared" si="11"/>
        <v>72540000</v>
      </c>
      <c r="N156" s="121">
        <v>1</v>
      </c>
      <c r="O156" s="6">
        <v>13</v>
      </c>
      <c r="P156" s="7" t="s">
        <v>35</v>
      </c>
      <c r="Q156" s="7">
        <v>1131313</v>
      </c>
      <c r="R156" s="8" t="s">
        <v>247</v>
      </c>
      <c r="S156" s="7">
        <v>37</v>
      </c>
      <c r="T156" s="7">
        <v>6</v>
      </c>
      <c r="U156" s="7">
        <v>17</v>
      </c>
      <c r="V156" s="7" t="s">
        <v>55</v>
      </c>
      <c r="W156" s="7" t="s">
        <v>243</v>
      </c>
      <c r="X156" s="9">
        <v>41603</v>
      </c>
      <c r="Y156" s="153" t="s">
        <v>60</v>
      </c>
      <c r="Z156" s="97">
        <f>((9.3*0%)+9.3)*16250*12*S156</f>
        <v>67099500</v>
      </c>
    </row>
    <row r="157" spans="1:26" ht="51" x14ac:dyDescent="0.25">
      <c r="A157" s="168">
        <v>13</v>
      </c>
      <c r="B157" s="121">
        <v>5556</v>
      </c>
      <c r="C157" s="7" t="s">
        <v>25</v>
      </c>
      <c r="D157" s="7" t="s">
        <v>26</v>
      </c>
      <c r="E157" s="138" t="s">
        <v>243</v>
      </c>
      <c r="F157" s="131" t="s">
        <v>28</v>
      </c>
      <c r="G157" s="131">
        <v>30</v>
      </c>
      <c r="H157" s="131" t="s">
        <v>29</v>
      </c>
      <c r="I157" s="14" t="s">
        <v>150</v>
      </c>
      <c r="J157" s="131" t="s">
        <v>30</v>
      </c>
      <c r="K157" s="97">
        <f>(((4.5*(0+178+0)%)+4.5)+((10.5*0%)+10.5))*16250</f>
        <v>373912.49999999994</v>
      </c>
      <c r="L157" s="93">
        <f t="shared" si="9"/>
        <v>134608499.99999997</v>
      </c>
      <c r="M157" s="97">
        <f t="shared" si="11"/>
        <v>134608499.99999997</v>
      </c>
      <c r="N157" s="121">
        <v>1</v>
      </c>
      <c r="O157" s="6">
        <v>13</v>
      </c>
      <c r="P157" s="7" t="s">
        <v>26</v>
      </c>
      <c r="Q157" s="100">
        <v>1131466</v>
      </c>
      <c r="R157" s="8" t="s">
        <v>248</v>
      </c>
      <c r="S157" s="7">
        <v>30</v>
      </c>
      <c r="T157" s="7">
        <v>6</v>
      </c>
      <c r="U157" s="7">
        <v>17</v>
      </c>
      <c r="V157" s="7" t="s">
        <v>30</v>
      </c>
      <c r="W157" s="7" t="s">
        <v>243</v>
      </c>
      <c r="X157" s="9">
        <v>42278</v>
      </c>
      <c r="Y157" s="153" t="s">
        <v>60</v>
      </c>
      <c r="Z157" s="97">
        <f>(((4.5*(0+178+0)%)+4.5)+((10.5*0%)+10.5))*16250*12*S157</f>
        <v>134608499.99999997</v>
      </c>
    </row>
    <row r="158" spans="1:26" ht="51" x14ac:dyDescent="0.25">
      <c r="A158" s="168">
        <v>13</v>
      </c>
      <c r="B158" s="121">
        <f>B157</f>
        <v>5556</v>
      </c>
      <c r="C158" s="7" t="s">
        <v>34</v>
      </c>
      <c r="D158" s="52" t="s">
        <v>35</v>
      </c>
      <c r="E158" s="121" t="s">
        <v>243</v>
      </c>
      <c r="F158" s="131" t="s">
        <v>28</v>
      </c>
      <c r="G158" s="131">
        <v>30</v>
      </c>
      <c r="H158" s="131" t="s">
        <v>36</v>
      </c>
      <c r="I158" s="14" t="s">
        <v>150</v>
      </c>
      <c r="J158" s="131" t="s">
        <v>30</v>
      </c>
      <c r="K158" s="97">
        <f>((9.3*0%)+9.3)*16250</f>
        <v>151125</v>
      </c>
      <c r="L158" s="93">
        <f t="shared" si="9"/>
        <v>54405000</v>
      </c>
      <c r="M158" s="97">
        <f t="shared" si="11"/>
        <v>54405000</v>
      </c>
      <c r="N158" s="121">
        <v>1</v>
      </c>
      <c r="O158" s="6">
        <v>13</v>
      </c>
      <c r="P158" s="7" t="s">
        <v>35</v>
      </c>
      <c r="Q158" s="138">
        <v>1131467</v>
      </c>
      <c r="R158" s="22" t="s">
        <v>249</v>
      </c>
      <c r="S158" s="138">
        <v>16</v>
      </c>
      <c r="T158" s="138">
        <v>6</v>
      </c>
      <c r="U158" s="138">
        <v>17</v>
      </c>
      <c r="V158" s="138" t="s">
        <v>30</v>
      </c>
      <c r="W158" s="138" t="s">
        <v>243</v>
      </c>
      <c r="X158" s="9">
        <v>42278</v>
      </c>
      <c r="Y158" s="153" t="s">
        <v>60</v>
      </c>
      <c r="Z158" s="97">
        <f>((9.3*0%)+9.3)*16250*12*S158</f>
        <v>29016000</v>
      </c>
    </row>
    <row r="159" spans="1:26" ht="38.25" x14ac:dyDescent="0.25">
      <c r="A159" s="168">
        <v>13</v>
      </c>
      <c r="B159" s="121">
        <v>5557</v>
      </c>
      <c r="C159" s="7" t="s">
        <v>25</v>
      </c>
      <c r="D159" s="7" t="s">
        <v>26</v>
      </c>
      <c r="E159" s="121" t="s">
        <v>234</v>
      </c>
      <c r="F159" s="131" t="s">
        <v>28</v>
      </c>
      <c r="G159" s="131">
        <v>60</v>
      </c>
      <c r="H159" s="131" t="s">
        <v>29</v>
      </c>
      <c r="I159" s="131" t="s">
        <v>152</v>
      </c>
      <c r="J159" s="131" t="s">
        <v>32</v>
      </c>
      <c r="K159" s="97">
        <f>(((4.5*(0+20+0)%)+4.5)+((10.5*0%)+10.5))*16250</f>
        <v>258375</v>
      </c>
      <c r="L159" s="93">
        <f t="shared" si="9"/>
        <v>186030000</v>
      </c>
      <c r="M159" s="97">
        <f t="shared" si="11"/>
        <v>186030000</v>
      </c>
      <c r="N159" s="121">
        <v>1</v>
      </c>
      <c r="O159" s="6">
        <v>13</v>
      </c>
      <c r="P159" s="7" t="s">
        <v>26</v>
      </c>
      <c r="Q159" s="121">
        <v>1131468</v>
      </c>
      <c r="R159" s="11" t="s">
        <v>250</v>
      </c>
      <c r="S159" s="121">
        <v>60</v>
      </c>
      <c r="T159" s="121">
        <v>6</v>
      </c>
      <c r="U159" s="121">
        <v>17</v>
      </c>
      <c r="V159" s="121" t="s">
        <v>32</v>
      </c>
      <c r="W159" s="121" t="s">
        <v>234</v>
      </c>
      <c r="X159" s="101">
        <v>42278</v>
      </c>
      <c r="Y159" s="153" t="s">
        <v>60</v>
      </c>
      <c r="Z159" s="97">
        <f>(((4.5*(0+20+0)%)+4.5)+((10.5*0%)+10.5))*16250*12*S159</f>
        <v>186030000</v>
      </c>
    </row>
    <row r="160" spans="1:26" ht="38.25" x14ac:dyDescent="0.25">
      <c r="A160" s="168">
        <v>13</v>
      </c>
      <c r="B160" s="121">
        <f>B159</f>
        <v>5557</v>
      </c>
      <c r="C160" s="7" t="s">
        <v>34</v>
      </c>
      <c r="D160" s="7" t="s">
        <v>35</v>
      </c>
      <c r="E160" s="140" t="s">
        <v>234</v>
      </c>
      <c r="F160" s="131" t="s">
        <v>28</v>
      </c>
      <c r="G160" s="131">
        <v>60</v>
      </c>
      <c r="H160" s="131" t="s">
        <v>36</v>
      </c>
      <c r="I160" s="131" t="s">
        <v>152</v>
      </c>
      <c r="J160" s="131" t="s">
        <v>32</v>
      </c>
      <c r="K160" s="97">
        <f>((9.3*0%)+9.3)*16250</f>
        <v>151125</v>
      </c>
      <c r="L160" s="93">
        <f t="shared" si="9"/>
        <v>108810000</v>
      </c>
      <c r="M160" s="97">
        <f t="shared" si="11"/>
        <v>108810000</v>
      </c>
      <c r="N160" s="121">
        <v>1</v>
      </c>
      <c r="O160" s="6">
        <v>13</v>
      </c>
      <c r="P160" s="7" t="s">
        <v>35</v>
      </c>
      <c r="Q160" s="140">
        <v>1131469</v>
      </c>
      <c r="R160" s="4" t="s">
        <v>251</v>
      </c>
      <c r="S160" s="140">
        <v>30</v>
      </c>
      <c r="T160" s="140">
        <v>6</v>
      </c>
      <c r="U160" s="140">
        <v>17</v>
      </c>
      <c r="V160" s="140" t="s">
        <v>32</v>
      </c>
      <c r="W160" s="140" t="s">
        <v>234</v>
      </c>
      <c r="X160" s="9">
        <v>42278</v>
      </c>
      <c r="Y160" s="153" t="s">
        <v>60</v>
      </c>
      <c r="Z160" s="97">
        <f>((9.3*0%)+9.3)*16250*12*S160</f>
        <v>54405000</v>
      </c>
    </row>
    <row r="161" spans="1:26" x14ac:dyDescent="0.25">
      <c r="A161" s="168">
        <v>13</v>
      </c>
      <c r="B161" s="121"/>
      <c r="C161" s="7"/>
      <c r="D161" s="7"/>
      <c r="E161" s="98"/>
      <c r="F161" s="131"/>
      <c r="G161" s="131"/>
      <c r="H161" s="131"/>
      <c r="I161" s="131"/>
      <c r="J161" s="131"/>
      <c r="K161" s="97"/>
      <c r="L161" s="93"/>
      <c r="M161" s="97"/>
      <c r="N161" s="120"/>
      <c r="O161" s="6"/>
      <c r="P161" s="272" t="s">
        <v>273</v>
      </c>
      <c r="Q161" s="273"/>
      <c r="R161" s="273"/>
      <c r="S161" s="273"/>
      <c r="T161" s="273"/>
      <c r="U161" s="273"/>
      <c r="V161" s="273"/>
      <c r="W161" s="273"/>
      <c r="X161" s="273"/>
      <c r="Y161" s="273"/>
      <c r="Z161" s="97">
        <f>Z160</f>
        <v>54405000</v>
      </c>
    </row>
    <row r="162" spans="1:26" ht="63.75" x14ac:dyDescent="0.25">
      <c r="A162" s="168">
        <v>13</v>
      </c>
      <c r="B162" s="121"/>
      <c r="C162" s="7"/>
      <c r="D162" s="7"/>
      <c r="E162" s="121"/>
      <c r="F162" s="131"/>
      <c r="G162" s="131"/>
      <c r="H162" s="131"/>
      <c r="I162" s="109"/>
      <c r="J162" s="110"/>
      <c r="K162" s="97"/>
      <c r="L162" s="93"/>
      <c r="M162" s="97"/>
      <c r="N162" s="121"/>
      <c r="O162" s="16">
        <v>13</v>
      </c>
      <c r="P162" s="1" t="s">
        <v>128</v>
      </c>
      <c r="Q162" s="1">
        <v>1131212</v>
      </c>
      <c r="R162" s="18" t="s">
        <v>252</v>
      </c>
      <c r="S162" s="1">
        <v>26</v>
      </c>
      <c r="T162" s="1">
        <v>6</v>
      </c>
      <c r="U162" s="1">
        <v>18</v>
      </c>
      <c r="V162" s="1" t="s">
        <v>32</v>
      </c>
      <c r="W162" s="1" t="s">
        <v>219</v>
      </c>
      <c r="X162" s="19">
        <v>41208</v>
      </c>
      <c r="Y162" s="153" t="s">
        <v>60</v>
      </c>
      <c r="Z162" s="111">
        <v>118257750</v>
      </c>
    </row>
    <row r="163" spans="1:26" ht="38.25" x14ac:dyDescent="0.25">
      <c r="A163" s="168">
        <v>13</v>
      </c>
      <c r="B163" s="121">
        <v>5558</v>
      </c>
      <c r="C163" s="7" t="s">
        <v>25</v>
      </c>
      <c r="D163" s="7" t="s">
        <v>46</v>
      </c>
      <c r="E163" s="7" t="s">
        <v>253</v>
      </c>
      <c r="F163" s="131" t="s">
        <v>28</v>
      </c>
      <c r="G163" s="131">
        <v>19</v>
      </c>
      <c r="H163" s="131" t="s">
        <v>29</v>
      </c>
      <c r="I163" s="14" t="s">
        <v>183</v>
      </c>
      <c r="J163" s="131" t="s">
        <v>32</v>
      </c>
      <c r="K163" s="93">
        <f>(((4.5*(0+192+0)%)+4.5)+((10.5*(0+90)%)+10.5))*16250</f>
        <v>537712.5</v>
      </c>
      <c r="L163" s="93">
        <f t="shared" si="9"/>
        <v>122598450</v>
      </c>
      <c r="M163" s="97">
        <f>L163*N163</f>
        <v>122598450</v>
      </c>
      <c r="N163" s="121">
        <v>1</v>
      </c>
      <c r="O163" s="6">
        <v>13</v>
      </c>
      <c r="P163" s="7" t="s">
        <v>46</v>
      </c>
      <c r="Q163" s="7">
        <v>1131470</v>
      </c>
      <c r="R163" s="8" t="s">
        <v>254</v>
      </c>
      <c r="S163" s="7">
        <v>19</v>
      </c>
      <c r="T163" s="7">
        <v>3</v>
      </c>
      <c r="U163" s="7">
        <v>5</v>
      </c>
      <c r="V163" s="7" t="s">
        <v>32</v>
      </c>
      <c r="W163" s="7" t="s">
        <v>253</v>
      </c>
      <c r="X163" s="9">
        <v>42278</v>
      </c>
      <c r="Y163" s="153" t="s">
        <v>60</v>
      </c>
      <c r="Z163" s="93">
        <f>(((4.5*(0+192+0)%)+4.5)+((10.5*(0+90)%)+10.5))*16250*12*S163</f>
        <v>122598450</v>
      </c>
    </row>
    <row r="164" spans="1:26" ht="38.25" x14ac:dyDescent="0.25">
      <c r="A164" s="168">
        <v>13</v>
      </c>
      <c r="B164" s="121">
        <f>B163</f>
        <v>5558</v>
      </c>
      <c r="C164" s="7" t="s">
        <v>34</v>
      </c>
      <c r="D164" s="7" t="s">
        <v>35</v>
      </c>
      <c r="E164" s="7" t="s">
        <v>253</v>
      </c>
      <c r="F164" s="131" t="s">
        <v>28</v>
      </c>
      <c r="G164" s="131">
        <v>19</v>
      </c>
      <c r="H164" s="131" t="s">
        <v>36</v>
      </c>
      <c r="I164" s="14" t="s">
        <v>183</v>
      </c>
      <c r="J164" s="131" t="s">
        <v>32</v>
      </c>
      <c r="K164" s="97">
        <f>((9.3*0%)+9.3)*16250</f>
        <v>151125</v>
      </c>
      <c r="L164" s="93">
        <f t="shared" si="9"/>
        <v>34456500</v>
      </c>
      <c r="M164" s="97">
        <f t="shared" ref="M164:M174" si="12">L164*N164</f>
        <v>34456500</v>
      </c>
      <c r="N164" s="121">
        <v>1</v>
      </c>
      <c r="O164" s="6">
        <v>13</v>
      </c>
      <c r="P164" s="7" t="s">
        <v>35</v>
      </c>
      <c r="Q164" s="7">
        <v>1131471</v>
      </c>
      <c r="R164" s="8" t="s">
        <v>255</v>
      </c>
      <c r="S164" s="7">
        <v>19</v>
      </c>
      <c r="T164" s="7">
        <v>3</v>
      </c>
      <c r="U164" s="7">
        <v>5</v>
      </c>
      <c r="V164" s="7" t="s">
        <v>32</v>
      </c>
      <c r="W164" s="7" t="s">
        <v>253</v>
      </c>
      <c r="X164" s="9">
        <v>42278</v>
      </c>
      <c r="Y164" s="153" t="s">
        <v>60</v>
      </c>
      <c r="Z164" s="97">
        <f>((9.3*0%)+9.3)*16250*12*S164</f>
        <v>34456500</v>
      </c>
    </row>
    <row r="165" spans="1:26" ht="51" x14ac:dyDescent="0.25">
      <c r="A165" s="168">
        <v>13</v>
      </c>
      <c r="B165" s="121">
        <v>5559</v>
      </c>
      <c r="C165" s="7" t="s">
        <v>25</v>
      </c>
      <c r="D165" s="7" t="s">
        <v>40</v>
      </c>
      <c r="E165" s="7" t="s">
        <v>205</v>
      </c>
      <c r="F165" s="131" t="s">
        <v>28</v>
      </c>
      <c r="G165" s="131">
        <v>12</v>
      </c>
      <c r="H165" s="131" t="s">
        <v>29</v>
      </c>
      <c r="I165" s="14" t="s">
        <v>150</v>
      </c>
      <c r="J165" s="131" t="s">
        <v>30</v>
      </c>
      <c r="K165" s="93">
        <f>(((4.5*(0+192+0)%)+4.5)+((10.5*(0+45)%)+10.5))*16250</f>
        <v>460931.25000000006</v>
      </c>
      <c r="L165" s="93">
        <f t="shared" si="9"/>
        <v>66374100.000000015</v>
      </c>
      <c r="M165" s="93">
        <f t="shared" si="12"/>
        <v>66374100.000000015</v>
      </c>
      <c r="N165" s="131">
        <v>1</v>
      </c>
      <c r="O165" s="274" t="s">
        <v>68</v>
      </c>
      <c r="P165" s="275"/>
      <c r="Q165" s="275"/>
      <c r="R165" s="275"/>
      <c r="S165" s="275"/>
      <c r="T165" s="275"/>
      <c r="U165" s="275"/>
      <c r="V165" s="275"/>
      <c r="W165" s="275"/>
      <c r="X165" s="275"/>
      <c r="Y165" s="275"/>
      <c r="Z165" s="97">
        <v>66374100</v>
      </c>
    </row>
    <row r="166" spans="1:26" ht="51" x14ac:dyDescent="0.25">
      <c r="A166" s="168">
        <v>13</v>
      </c>
      <c r="B166" s="121">
        <f>B165</f>
        <v>5559</v>
      </c>
      <c r="C166" s="7" t="s">
        <v>34</v>
      </c>
      <c r="D166" s="7" t="s">
        <v>43</v>
      </c>
      <c r="E166" s="7" t="s">
        <v>205</v>
      </c>
      <c r="F166" s="131" t="s">
        <v>28</v>
      </c>
      <c r="G166" s="131">
        <v>12</v>
      </c>
      <c r="H166" s="131" t="s">
        <v>36</v>
      </c>
      <c r="I166" s="14" t="s">
        <v>150</v>
      </c>
      <c r="J166" s="131" t="s">
        <v>30</v>
      </c>
      <c r="K166" s="96">
        <f>((9.3*0%)+9.3)*16250</f>
        <v>151125</v>
      </c>
      <c r="L166" s="93">
        <f t="shared" si="9"/>
        <v>21762000</v>
      </c>
      <c r="M166" s="93">
        <f t="shared" si="12"/>
        <v>21762000</v>
      </c>
      <c r="N166" s="131">
        <v>1</v>
      </c>
      <c r="O166" s="276"/>
      <c r="P166" s="277"/>
      <c r="Q166" s="277"/>
      <c r="R166" s="277"/>
      <c r="S166" s="277"/>
      <c r="T166" s="277"/>
      <c r="U166" s="277"/>
      <c r="V166" s="277"/>
      <c r="W166" s="277"/>
      <c r="X166" s="277"/>
      <c r="Y166" s="277"/>
      <c r="Z166" s="97">
        <v>21762000</v>
      </c>
    </row>
    <row r="167" spans="1:26" ht="51" x14ac:dyDescent="0.25">
      <c r="A167" s="169">
        <v>13</v>
      </c>
      <c r="B167" s="125">
        <f>B166</f>
        <v>5559</v>
      </c>
      <c r="C167" s="138" t="s">
        <v>34</v>
      </c>
      <c r="D167" s="138" t="s">
        <v>75</v>
      </c>
      <c r="E167" s="138" t="s">
        <v>205</v>
      </c>
      <c r="F167" s="122" t="s">
        <v>28</v>
      </c>
      <c r="G167" s="122">
        <v>12</v>
      </c>
      <c r="H167" s="122" t="s">
        <v>36</v>
      </c>
      <c r="I167" s="14" t="s">
        <v>150</v>
      </c>
      <c r="J167" s="122" t="s">
        <v>30</v>
      </c>
      <c r="K167" s="102">
        <f>((9.3*0%)+9.3)*16250</f>
        <v>151125</v>
      </c>
      <c r="L167" s="103">
        <f t="shared" si="9"/>
        <v>21762000</v>
      </c>
      <c r="M167" s="103">
        <f t="shared" si="12"/>
        <v>21762000</v>
      </c>
      <c r="N167" s="122">
        <v>1</v>
      </c>
      <c r="O167" s="278"/>
      <c r="P167" s="279"/>
      <c r="Q167" s="279"/>
      <c r="R167" s="279"/>
      <c r="S167" s="279"/>
      <c r="T167" s="279"/>
      <c r="U167" s="279"/>
      <c r="V167" s="279"/>
      <c r="W167" s="279"/>
      <c r="X167" s="279"/>
      <c r="Y167" s="279"/>
      <c r="Z167" s="97">
        <v>21762000</v>
      </c>
    </row>
    <row r="168" spans="1:26" ht="51" x14ac:dyDescent="0.25">
      <c r="A168" s="131">
        <v>13</v>
      </c>
      <c r="B168" s="131">
        <v>5560</v>
      </c>
      <c r="C168" s="7" t="s">
        <v>25</v>
      </c>
      <c r="D168" s="131" t="s">
        <v>128</v>
      </c>
      <c r="E168" s="131" t="s">
        <v>206</v>
      </c>
      <c r="F168" s="131" t="s">
        <v>28</v>
      </c>
      <c r="G168" s="131">
        <v>40</v>
      </c>
      <c r="H168" s="131" t="s">
        <v>29</v>
      </c>
      <c r="I168" s="14" t="s">
        <v>150</v>
      </c>
      <c r="J168" s="131" t="s">
        <v>30</v>
      </c>
      <c r="K168" s="97">
        <f>(((4.5*(0+178+0)%)+4.5)+((10.5*0%)+10.5))*16250</f>
        <v>373912.49999999994</v>
      </c>
      <c r="L168" s="103">
        <f t="shared" si="9"/>
        <v>179477999.99999997</v>
      </c>
      <c r="M168" s="96">
        <f t="shared" si="12"/>
        <v>179477999.99999997</v>
      </c>
      <c r="N168" s="131">
        <v>1</v>
      </c>
      <c r="O168" s="131">
        <v>13</v>
      </c>
      <c r="P168" s="131" t="s">
        <v>128</v>
      </c>
      <c r="Q168" s="131">
        <v>1131057</v>
      </c>
      <c r="R168" s="90" t="s">
        <v>207</v>
      </c>
      <c r="S168" s="131">
        <v>90</v>
      </c>
      <c r="T168" s="121">
        <v>6</v>
      </c>
      <c r="U168" s="121">
        <v>17</v>
      </c>
      <c r="V168" s="121" t="s">
        <v>32</v>
      </c>
      <c r="W168" s="131" t="s">
        <v>206</v>
      </c>
      <c r="X168" s="153">
        <v>40725</v>
      </c>
      <c r="Y168" s="181" t="s">
        <v>60</v>
      </c>
      <c r="Z168" s="106">
        <f>(((4.5*(0+0+0)%)+4.5)+((10.5*0%)+10.5))*16250*12*S168</f>
        <v>263250000</v>
      </c>
    </row>
    <row r="169" spans="1:26" ht="38.25" x14ac:dyDescent="0.25">
      <c r="A169" s="121">
        <v>13</v>
      </c>
      <c r="B169" s="121">
        <v>5560</v>
      </c>
      <c r="C169" s="7" t="s">
        <v>25</v>
      </c>
      <c r="D169" s="121" t="s">
        <v>46</v>
      </c>
      <c r="E169" s="121" t="s">
        <v>205</v>
      </c>
      <c r="F169" s="121" t="s">
        <v>28</v>
      </c>
      <c r="G169" s="121">
        <v>12</v>
      </c>
      <c r="H169" s="121" t="s">
        <v>29</v>
      </c>
      <c r="I169" s="14" t="s">
        <v>183</v>
      </c>
      <c r="J169" s="121" t="s">
        <v>32</v>
      </c>
      <c r="K169" s="93">
        <f>(((4.5*(0+192+0)%)+4.5)+((10.5*(0+90)%)+10.5))*16250</f>
        <v>537712.5</v>
      </c>
      <c r="L169" s="103">
        <f t="shared" si="9"/>
        <v>77430600</v>
      </c>
      <c r="M169" s="96">
        <f t="shared" si="12"/>
        <v>77430600</v>
      </c>
      <c r="N169" s="121">
        <v>1</v>
      </c>
      <c r="O169" s="121">
        <v>13</v>
      </c>
      <c r="P169" s="121" t="s">
        <v>46</v>
      </c>
      <c r="Q169" s="121">
        <v>1131994</v>
      </c>
      <c r="R169" s="90" t="s">
        <v>284</v>
      </c>
      <c r="S169" s="121">
        <v>25</v>
      </c>
      <c r="T169" s="121"/>
      <c r="U169" s="121"/>
      <c r="V169" s="121" t="s">
        <v>32</v>
      </c>
      <c r="W169" s="121" t="s">
        <v>205</v>
      </c>
      <c r="X169" s="128">
        <v>42842</v>
      </c>
      <c r="Y169" s="181" t="s">
        <v>60</v>
      </c>
      <c r="Z169" s="105">
        <f>(((4.5*(0+178+0)%)+4.5)+((10.5*(0+90)%)+10.5))*16250*12*S169</f>
        <v>158242500</v>
      </c>
    </row>
    <row r="170" spans="1:26" ht="38.25" x14ac:dyDescent="0.25">
      <c r="A170" s="121">
        <v>13</v>
      </c>
      <c r="B170" s="121">
        <f>B169</f>
        <v>5560</v>
      </c>
      <c r="C170" s="138" t="s">
        <v>34</v>
      </c>
      <c r="D170" s="121" t="s">
        <v>35</v>
      </c>
      <c r="E170" s="121" t="s">
        <v>205</v>
      </c>
      <c r="F170" s="121" t="s">
        <v>28</v>
      </c>
      <c r="G170" s="121">
        <v>12</v>
      </c>
      <c r="H170" s="121" t="s">
        <v>36</v>
      </c>
      <c r="I170" s="14" t="s">
        <v>183</v>
      </c>
      <c r="J170" s="121" t="s">
        <v>32</v>
      </c>
      <c r="K170" s="102">
        <f>((9.3*0%)+9.3)*16250</f>
        <v>151125</v>
      </c>
      <c r="L170" s="103">
        <f t="shared" si="9"/>
        <v>21762000</v>
      </c>
      <c r="M170" s="182">
        <f t="shared" si="12"/>
        <v>21762000</v>
      </c>
      <c r="N170" s="121">
        <v>1</v>
      </c>
      <c r="O170" s="121">
        <v>13</v>
      </c>
      <c r="P170" s="121" t="s">
        <v>35</v>
      </c>
      <c r="Q170" s="121">
        <v>1131995</v>
      </c>
      <c r="R170" s="90" t="s">
        <v>285</v>
      </c>
      <c r="S170" s="121">
        <v>25</v>
      </c>
      <c r="T170" s="121"/>
      <c r="U170" s="121"/>
      <c r="V170" s="121" t="s">
        <v>32</v>
      </c>
      <c r="W170" s="121" t="s">
        <v>205</v>
      </c>
      <c r="X170" s="128">
        <v>42842</v>
      </c>
      <c r="Y170" s="181" t="s">
        <v>60</v>
      </c>
      <c r="Z170" s="184">
        <f>((9.3*0%)+9.3)*16250*12*S170</f>
        <v>45337500</v>
      </c>
    </row>
    <row r="171" spans="1:26" ht="38.25" x14ac:dyDescent="0.25">
      <c r="A171" s="183">
        <v>13</v>
      </c>
      <c r="B171" s="131">
        <v>5561</v>
      </c>
      <c r="C171" s="7" t="s">
        <v>25</v>
      </c>
      <c r="D171" s="131" t="s">
        <v>256</v>
      </c>
      <c r="E171" s="131" t="s">
        <v>219</v>
      </c>
      <c r="F171" s="131" t="s">
        <v>28</v>
      </c>
      <c r="G171" s="131">
        <v>20</v>
      </c>
      <c r="H171" s="131" t="s">
        <v>29</v>
      </c>
      <c r="I171" s="131" t="s">
        <v>149</v>
      </c>
      <c r="J171" s="131" t="s">
        <v>32</v>
      </c>
      <c r="K171" s="93">
        <f>(((4.5*(0+192+0)%)+4.5)+((10.5*(0+90)%)+10.5))*16250</f>
        <v>537712.5</v>
      </c>
      <c r="L171" s="103">
        <f t="shared" si="9"/>
        <v>129051000</v>
      </c>
      <c r="M171" s="182">
        <f t="shared" si="12"/>
        <v>129051000</v>
      </c>
      <c r="N171" s="131">
        <v>1</v>
      </c>
      <c r="O171" s="264">
        <v>13</v>
      </c>
      <c r="P171" s="264" t="s">
        <v>181</v>
      </c>
      <c r="Q171" s="264">
        <v>1130534</v>
      </c>
      <c r="R171" s="266" t="s">
        <v>257</v>
      </c>
      <c r="S171" s="268">
        <v>20</v>
      </c>
      <c r="T171" s="268"/>
      <c r="U171" s="268"/>
      <c r="V171" s="268" t="s">
        <v>32</v>
      </c>
      <c r="W171" s="264" t="s">
        <v>219</v>
      </c>
      <c r="X171" s="254">
        <v>41609</v>
      </c>
      <c r="Y171" s="256" t="s">
        <v>60</v>
      </c>
      <c r="Z171" s="258">
        <f>(((4.5*(0+192+0)%)+4.5)+((10.5*(0+130)%)+10.5))*16250*12*S171</f>
        <v>145431000</v>
      </c>
    </row>
    <row r="172" spans="1:26" ht="38.25" x14ac:dyDescent="0.25">
      <c r="A172" s="183">
        <v>13</v>
      </c>
      <c r="B172" s="131">
        <f>B171</f>
        <v>5561</v>
      </c>
      <c r="C172" s="138" t="s">
        <v>34</v>
      </c>
      <c r="D172" s="131" t="s">
        <v>35</v>
      </c>
      <c r="E172" s="131" t="s">
        <v>219</v>
      </c>
      <c r="F172" s="131" t="s">
        <v>28</v>
      </c>
      <c r="G172" s="131">
        <v>20</v>
      </c>
      <c r="H172" s="131" t="s">
        <v>36</v>
      </c>
      <c r="I172" s="131" t="s">
        <v>149</v>
      </c>
      <c r="J172" s="131" t="s">
        <v>32</v>
      </c>
      <c r="K172" s="102">
        <f>((9.3*0%)+9.3)*16250</f>
        <v>151125</v>
      </c>
      <c r="L172" s="103">
        <f t="shared" si="9"/>
        <v>36270000</v>
      </c>
      <c r="M172" s="182">
        <f t="shared" si="12"/>
        <v>36270000</v>
      </c>
      <c r="N172" s="131">
        <v>1</v>
      </c>
      <c r="O172" s="265"/>
      <c r="P172" s="265"/>
      <c r="Q172" s="265"/>
      <c r="R172" s="267"/>
      <c r="S172" s="269"/>
      <c r="T172" s="269"/>
      <c r="U172" s="269"/>
      <c r="V172" s="269"/>
      <c r="W172" s="265"/>
      <c r="X172" s="255"/>
      <c r="Y172" s="257"/>
      <c r="Z172" s="259"/>
    </row>
    <row r="173" spans="1:26" ht="38.25" x14ac:dyDescent="0.25">
      <c r="A173" s="183">
        <v>13</v>
      </c>
      <c r="B173" s="131">
        <v>5562</v>
      </c>
      <c r="C173" s="7" t="s">
        <v>25</v>
      </c>
      <c r="D173" s="131" t="s">
        <v>256</v>
      </c>
      <c r="E173" s="131" t="s">
        <v>219</v>
      </c>
      <c r="F173" s="131" t="s">
        <v>28</v>
      </c>
      <c r="G173" s="131">
        <v>20</v>
      </c>
      <c r="H173" s="131" t="s">
        <v>29</v>
      </c>
      <c r="I173" s="14" t="s">
        <v>183</v>
      </c>
      <c r="J173" s="131" t="s">
        <v>32</v>
      </c>
      <c r="K173" s="93">
        <f>(((4.5*(0+192+0)%)+4.5)+((10.5*(0+90)%)+10.5))*16250</f>
        <v>537712.5</v>
      </c>
      <c r="L173" s="103">
        <f t="shared" si="9"/>
        <v>129051000</v>
      </c>
      <c r="M173" s="182">
        <f t="shared" si="12"/>
        <v>129051000</v>
      </c>
      <c r="N173" s="131">
        <v>1</v>
      </c>
      <c r="O173" s="264">
        <v>13</v>
      </c>
      <c r="P173" s="264" t="s">
        <v>181</v>
      </c>
      <c r="Q173" s="264">
        <v>1130546</v>
      </c>
      <c r="R173" s="266" t="s">
        <v>258</v>
      </c>
      <c r="S173" s="268">
        <v>20</v>
      </c>
      <c r="T173" s="268"/>
      <c r="U173" s="268"/>
      <c r="V173" s="268" t="s">
        <v>32</v>
      </c>
      <c r="W173" s="264" t="s">
        <v>219</v>
      </c>
      <c r="X173" s="254">
        <v>41609</v>
      </c>
      <c r="Y173" s="256" t="s">
        <v>60</v>
      </c>
      <c r="Z173" s="258">
        <f>(((4.5*(0+192+0)%)+4.5)+((10.5*(0+130)%)+10.5))*16250*12*S173</f>
        <v>145431000</v>
      </c>
    </row>
    <row r="174" spans="1:26" ht="38.25" x14ac:dyDescent="0.25">
      <c r="A174" s="183">
        <v>13</v>
      </c>
      <c r="B174" s="131">
        <f>B173</f>
        <v>5562</v>
      </c>
      <c r="C174" s="138" t="s">
        <v>34</v>
      </c>
      <c r="D174" s="131" t="s">
        <v>35</v>
      </c>
      <c r="E174" s="131" t="s">
        <v>219</v>
      </c>
      <c r="F174" s="131" t="s">
        <v>28</v>
      </c>
      <c r="G174" s="131">
        <v>20</v>
      </c>
      <c r="H174" s="131" t="s">
        <v>36</v>
      </c>
      <c r="I174" s="14" t="s">
        <v>183</v>
      </c>
      <c r="J174" s="131" t="s">
        <v>32</v>
      </c>
      <c r="K174" s="102">
        <f>((9.3*0%)+9.3)*16250</f>
        <v>151125</v>
      </c>
      <c r="L174" s="103">
        <f t="shared" si="9"/>
        <v>36270000</v>
      </c>
      <c r="M174" s="182">
        <f t="shared" si="12"/>
        <v>36270000</v>
      </c>
      <c r="N174" s="131">
        <v>1</v>
      </c>
      <c r="O174" s="265"/>
      <c r="P174" s="265"/>
      <c r="Q174" s="265"/>
      <c r="R174" s="267"/>
      <c r="S174" s="269"/>
      <c r="T174" s="269"/>
      <c r="U174" s="269"/>
      <c r="V174" s="269"/>
      <c r="W174" s="265"/>
      <c r="X174" s="255"/>
      <c r="Y174" s="257"/>
      <c r="Z174" s="259"/>
    </row>
    <row r="175" spans="1:26" ht="51" x14ac:dyDescent="0.25">
      <c r="A175" s="168">
        <v>13</v>
      </c>
      <c r="B175" s="121">
        <v>5563</v>
      </c>
      <c r="C175" s="138" t="s">
        <v>25</v>
      </c>
      <c r="D175" s="7" t="s">
        <v>26</v>
      </c>
      <c r="E175" s="7" t="s">
        <v>205</v>
      </c>
      <c r="F175" s="131" t="s">
        <v>28</v>
      </c>
      <c r="G175" s="131">
        <v>20</v>
      </c>
      <c r="H175" s="131" t="s">
        <v>29</v>
      </c>
      <c r="I175" s="14" t="s">
        <v>150</v>
      </c>
      <c r="J175" s="131" t="s">
        <v>32</v>
      </c>
      <c r="K175" s="97">
        <f>(((4.5*(0+192)%)+4.5)+((10.5*0%)+10.5))*16250</f>
        <v>384150</v>
      </c>
      <c r="L175" s="93">
        <f t="shared" si="9"/>
        <v>92196000</v>
      </c>
      <c r="M175" s="97">
        <f>L175*N175</f>
        <v>92196000</v>
      </c>
      <c r="N175" s="121">
        <v>1</v>
      </c>
      <c r="O175" s="131"/>
      <c r="P175" s="260" t="s">
        <v>260</v>
      </c>
      <c r="Q175" s="261"/>
      <c r="R175" s="261"/>
      <c r="S175" s="261"/>
      <c r="T175" s="261"/>
      <c r="U175" s="261"/>
      <c r="V175" s="261"/>
      <c r="W175" s="261"/>
      <c r="X175" s="261"/>
      <c r="Y175" s="261"/>
      <c r="Z175" s="185"/>
    </row>
    <row r="176" spans="1:26" ht="51" x14ac:dyDescent="0.25">
      <c r="A176" s="168">
        <v>13</v>
      </c>
      <c r="B176" s="121">
        <f>B175</f>
        <v>5563</v>
      </c>
      <c r="C176" s="121" t="s">
        <v>34</v>
      </c>
      <c r="D176" s="6" t="s">
        <v>35</v>
      </c>
      <c r="E176" s="7" t="s">
        <v>205</v>
      </c>
      <c r="F176" s="131" t="s">
        <v>28</v>
      </c>
      <c r="G176" s="131">
        <v>20</v>
      </c>
      <c r="H176" s="131" t="s">
        <v>36</v>
      </c>
      <c r="I176" s="14" t="s">
        <v>150</v>
      </c>
      <c r="J176" s="131" t="s">
        <v>32</v>
      </c>
      <c r="K176" s="97">
        <f>((9.3*0%)+9.3)*16250</f>
        <v>151125</v>
      </c>
      <c r="L176" s="93">
        <f t="shared" si="9"/>
        <v>36270000</v>
      </c>
      <c r="M176" s="97">
        <f t="shared" ref="M176:M189" si="13">L176*N176</f>
        <v>36270000</v>
      </c>
      <c r="N176" s="121">
        <v>1</v>
      </c>
      <c r="O176" s="131"/>
      <c r="P176" s="262"/>
      <c r="Q176" s="263"/>
      <c r="R176" s="263"/>
      <c r="S176" s="263"/>
      <c r="T176" s="263"/>
      <c r="U176" s="263"/>
      <c r="V176" s="263"/>
      <c r="W176" s="263"/>
      <c r="X176" s="263"/>
      <c r="Y176" s="263"/>
      <c r="Z176" s="185"/>
    </row>
    <row r="177" spans="1:26" ht="38.25" x14ac:dyDescent="0.25">
      <c r="A177" s="121">
        <v>14</v>
      </c>
      <c r="B177" s="121">
        <v>5564</v>
      </c>
      <c r="C177" s="131" t="s">
        <v>25</v>
      </c>
      <c r="D177" s="121" t="s">
        <v>26</v>
      </c>
      <c r="E177" s="121" t="s">
        <v>119</v>
      </c>
      <c r="F177" s="144" t="s">
        <v>28</v>
      </c>
      <c r="G177" s="144">
        <v>20</v>
      </c>
      <c r="H177" s="144" t="s">
        <v>29</v>
      </c>
      <c r="I177" s="131" t="s">
        <v>152</v>
      </c>
      <c r="J177" s="144" t="s">
        <v>30</v>
      </c>
      <c r="K177" s="141">
        <f>(((4.5*(14+192)%)+4.5)+((10.5*14%)+10.5))*16250</f>
        <v>418275.00000000006</v>
      </c>
      <c r="L177" s="26">
        <f t="shared" si="9"/>
        <v>100386000.00000001</v>
      </c>
      <c r="M177" s="26">
        <f t="shared" si="13"/>
        <v>100386000.00000001</v>
      </c>
      <c r="N177" s="144">
        <v>1</v>
      </c>
      <c r="O177" s="126">
        <v>14</v>
      </c>
      <c r="P177" s="140" t="s">
        <v>26</v>
      </c>
      <c r="Q177" s="123">
        <v>1140032</v>
      </c>
      <c r="R177" s="39" t="s">
        <v>120</v>
      </c>
      <c r="S177" s="126">
        <v>26</v>
      </c>
      <c r="T177" s="126">
        <v>6</v>
      </c>
      <c r="U177" s="126">
        <v>17</v>
      </c>
      <c r="V177" s="126" t="s">
        <v>30</v>
      </c>
      <c r="W177" s="126" t="s">
        <v>119</v>
      </c>
      <c r="X177" s="152">
        <v>40725</v>
      </c>
      <c r="Y177" s="153" t="s">
        <v>60</v>
      </c>
      <c r="Z177" s="13">
        <v>127307700</v>
      </c>
    </row>
    <row r="178" spans="1:26" ht="38.25" x14ac:dyDescent="0.25">
      <c r="A178" s="121">
        <v>14</v>
      </c>
      <c r="B178" s="10">
        <f>B177</f>
        <v>5564</v>
      </c>
      <c r="C178" s="121" t="s">
        <v>34</v>
      </c>
      <c r="D178" s="121" t="s">
        <v>35</v>
      </c>
      <c r="E178" s="121" t="s">
        <v>119</v>
      </c>
      <c r="F178" s="144" t="s">
        <v>28</v>
      </c>
      <c r="G178" s="144">
        <v>20</v>
      </c>
      <c r="H178" s="144" t="s">
        <v>36</v>
      </c>
      <c r="I178" s="131" t="s">
        <v>152</v>
      </c>
      <c r="J178" s="144" t="s">
        <v>30</v>
      </c>
      <c r="K178" s="141">
        <f>((9.3*14%)+9.3)*16250</f>
        <v>172282.5</v>
      </c>
      <c r="L178" s="26">
        <f t="shared" ref="L178:L192" si="14">K178*G178*12</f>
        <v>41347800</v>
      </c>
      <c r="M178" s="26">
        <f t="shared" si="13"/>
        <v>41347800</v>
      </c>
      <c r="N178" s="144">
        <v>1</v>
      </c>
      <c r="O178" s="121">
        <v>14</v>
      </c>
      <c r="P178" s="1" t="s">
        <v>35</v>
      </c>
      <c r="Q178" s="131">
        <v>1140031</v>
      </c>
      <c r="R178" s="11" t="s">
        <v>121</v>
      </c>
      <c r="S178" s="121">
        <v>13</v>
      </c>
      <c r="T178" s="121">
        <v>6</v>
      </c>
      <c r="U178" s="121">
        <v>17</v>
      </c>
      <c r="V178" s="121" t="s">
        <v>32</v>
      </c>
      <c r="W178" s="121" t="s">
        <v>119</v>
      </c>
      <c r="X178" s="128">
        <v>40725</v>
      </c>
      <c r="Y178" s="153" t="s">
        <v>60</v>
      </c>
      <c r="Z178" s="141">
        <f>(((9.3*14%)+9.3)*16250)*S178*12</f>
        <v>26876070</v>
      </c>
    </row>
    <row r="179" spans="1:26" ht="76.5" x14ac:dyDescent="0.25">
      <c r="A179" s="121">
        <v>14</v>
      </c>
      <c r="B179" s="121">
        <f>B177+1</f>
        <v>5565</v>
      </c>
      <c r="C179" s="121" t="s">
        <v>25</v>
      </c>
      <c r="D179" s="121" t="s">
        <v>26</v>
      </c>
      <c r="E179" s="121" t="s">
        <v>122</v>
      </c>
      <c r="F179" s="144" t="s">
        <v>28</v>
      </c>
      <c r="G179" s="144">
        <v>20</v>
      </c>
      <c r="H179" s="144" t="s">
        <v>29</v>
      </c>
      <c r="I179" s="131" t="s">
        <v>152</v>
      </c>
      <c r="J179" s="144" t="s">
        <v>30</v>
      </c>
      <c r="K179" s="141">
        <f>(((4.5*(14+192)%)+4.5)+((10.5*14%)+10.5))*16250</f>
        <v>418275.00000000006</v>
      </c>
      <c r="L179" s="26">
        <f t="shared" si="14"/>
        <v>100386000.00000001</v>
      </c>
      <c r="M179" s="26">
        <f t="shared" si="13"/>
        <v>100386000.00000001</v>
      </c>
      <c r="N179" s="144">
        <v>1</v>
      </c>
      <c r="O179" s="121">
        <v>14</v>
      </c>
      <c r="P179" s="7" t="s">
        <v>26</v>
      </c>
      <c r="Q179" s="131">
        <v>1140036</v>
      </c>
      <c r="R179" s="11" t="s">
        <v>123</v>
      </c>
      <c r="S179" s="121">
        <v>30</v>
      </c>
      <c r="T179" s="121">
        <v>6</v>
      </c>
      <c r="U179" s="121">
        <v>17</v>
      </c>
      <c r="V179" s="121" t="s">
        <v>30</v>
      </c>
      <c r="W179" s="121" t="s">
        <v>122</v>
      </c>
      <c r="X179" s="128">
        <v>40725</v>
      </c>
      <c r="Y179" s="153" t="s">
        <v>60</v>
      </c>
      <c r="Z179" s="13">
        <v>146893500.00000003</v>
      </c>
    </row>
    <row r="180" spans="1:26" ht="76.5" x14ac:dyDescent="0.25">
      <c r="A180" s="121">
        <v>14</v>
      </c>
      <c r="B180" s="10">
        <f>B179</f>
        <v>5565</v>
      </c>
      <c r="C180" s="121" t="s">
        <v>34</v>
      </c>
      <c r="D180" s="121" t="s">
        <v>35</v>
      </c>
      <c r="E180" s="121" t="s">
        <v>122</v>
      </c>
      <c r="F180" s="144" t="s">
        <v>28</v>
      </c>
      <c r="G180" s="144">
        <v>20</v>
      </c>
      <c r="H180" s="144" t="s">
        <v>36</v>
      </c>
      <c r="I180" s="131" t="s">
        <v>152</v>
      </c>
      <c r="J180" s="144" t="s">
        <v>30</v>
      </c>
      <c r="K180" s="141">
        <f>((9.3*14%)+9.3)*16250</f>
        <v>172282.5</v>
      </c>
      <c r="L180" s="26">
        <f t="shared" si="14"/>
        <v>41347800</v>
      </c>
      <c r="M180" s="26">
        <f t="shared" si="13"/>
        <v>41347800</v>
      </c>
      <c r="N180" s="144">
        <v>1</v>
      </c>
      <c r="O180" s="121">
        <v>14</v>
      </c>
      <c r="P180" s="87" t="s">
        <v>35</v>
      </c>
      <c r="Q180" s="131">
        <v>1140035</v>
      </c>
      <c r="R180" s="11" t="s">
        <v>124</v>
      </c>
      <c r="S180" s="121">
        <v>28</v>
      </c>
      <c r="T180" s="121">
        <v>6</v>
      </c>
      <c r="U180" s="121">
        <v>17</v>
      </c>
      <c r="V180" s="121" t="s">
        <v>30</v>
      </c>
      <c r="W180" s="121" t="s">
        <v>122</v>
      </c>
      <c r="X180" s="128">
        <v>40725</v>
      </c>
      <c r="Y180" s="153" t="s">
        <v>60</v>
      </c>
      <c r="Z180" s="141">
        <f>(((9.3*14%)+9.3)*16250)*S180*12</f>
        <v>57886920</v>
      </c>
    </row>
    <row r="181" spans="1:26" ht="38.25" x14ac:dyDescent="0.25">
      <c r="A181" s="121">
        <v>14</v>
      </c>
      <c r="B181" s="10">
        <v>5566</v>
      </c>
      <c r="C181" s="121" t="s">
        <v>25</v>
      </c>
      <c r="D181" s="121" t="s">
        <v>46</v>
      </c>
      <c r="E181" s="121" t="s">
        <v>270</v>
      </c>
      <c r="F181" s="144" t="s">
        <v>271</v>
      </c>
      <c r="G181" s="144">
        <v>20</v>
      </c>
      <c r="H181" s="131" t="s">
        <v>29</v>
      </c>
      <c r="I181" s="131" t="s">
        <v>148</v>
      </c>
      <c r="J181" s="144" t="s">
        <v>32</v>
      </c>
      <c r="K181" s="26">
        <f>(((4.5*(14+192+0)%)+4.5)+((10.5*(14+90)%)+10.5))*16250</f>
        <v>571837.5</v>
      </c>
      <c r="L181" s="26">
        <f t="shared" si="14"/>
        <v>137241000</v>
      </c>
      <c r="M181" s="26">
        <f t="shared" si="13"/>
        <v>137241000</v>
      </c>
      <c r="N181" s="144">
        <v>1</v>
      </c>
      <c r="O181" s="121">
        <v>14</v>
      </c>
      <c r="P181" s="243" t="s">
        <v>260</v>
      </c>
      <c r="Q181" s="244"/>
      <c r="R181" s="244"/>
      <c r="S181" s="244"/>
      <c r="T181" s="244"/>
      <c r="U181" s="244"/>
      <c r="V181" s="244"/>
      <c r="W181" s="244"/>
      <c r="X181" s="244"/>
      <c r="Y181" s="244"/>
      <c r="Z181" s="141"/>
    </row>
    <row r="182" spans="1:26" ht="38.25" x14ac:dyDescent="0.25">
      <c r="A182" s="121">
        <v>14</v>
      </c>
      <c r="B182" s="10">
        <f>B181</f>
        <v>5566</v>
      </c>
      <c r="C182" s="121" t="s">
        <v>34</v>
      </c>
      <c r="D182" s="121" t="s">
        <v>35</v>
      </c>
      <c r="E182" s="121" t="s">
        <v>270</v>
      </c>
      <c r="F182" s="144" t="s">
        <v>271</v>
      </c>
      <c r="G182" s="144">
        <v>20</v>
      </c>
      <c r="H182" s="144" t="s">
        <v>36</v>
      </c>
      <c r="I182" s="131" t="s">
        <v>148</v>
      </c>
      <c r="J182" s="144" t="s">
        <v>32</v>
      </c>
      <c r="K182" s="141">
        <f>((9.3*14%)+9.3)*16250</f>
        <v>172282.5</v>
      </c>
      <c r="L182" s="26">
        <f t="shared" si="14"/>
        <v>41347800</v>
      </c>
      <c r="M182" s="26">
        <f t="shared" si="13"/>
        <v>41347800</v>
      </c>
      <c r="N182" s="144">
        <v>1</v>
      </c>
      <c r="O182" s="121">
        <v>14</v>
      </c>
      <c r="P182" s="245"/>
      <c r="Q182" s="246"/>
      <c r="R182" s="246"/>
      <c r="S182" s="246"/>
      <c r="T182" s="246"/>
      <c r="U182" s="246"/>
      <c r="V182" s="246"/>
      <c r="W182" s="246"/>
      <c r="X182" s="246"/>
      <c r="Y182" s="246"/>
      <c r="Z182" s="141"/>
    </row>
    <row r="183" spans="1:26" ht="51" x14ac:dyDescent="0.25">
      <c r="A183" s="121">
        <v>14</v>
      </c>
      <c r="B183" s="121">
        <v>5567</v>
      </c>
      <c r="C183" s="121" t="s">
        <v>25</v>
      </c>
      <c r="D183" s="121" t="s">
        <v>40</v>
      </c>
      <c r="E183" s="121" t="s">
        <v>122</v>
      </c>
      <c r="F183" s="144" t="s">
        <v>28</v>
      </c>
      <c r="G183" s="144">
        <v>20</v>
      </c>
      <c r="H183" s="144" t="s">
        <v>29</v>
      </c>
      <c r="I183" s="14" t="s">
        <v>150</v>
      </c>
      <c r="J183" s="144" t="s">
        <v>55</v>
      </c>
      <c r="K183" s="26">
        <f>(((4.5*(14+192+0)%)+4.5)+((10.5*(14+45)%)+10.5))*16250</f>
        <v>495056.25</v>
      </c>
      <c r="L183" s="26">
        <f t="shared" si="14"/>
        <v>118813500</v>
      </c>
      <c r="M183" s="26">
        <f t="shared" si="13"/>
        <v>118813500</v>
      </c>
      <c r="N183" s="144">
        <v>1</v>
      </c>
      <c r="O183" s="121">
        <v>14</v>
      </c>
      <c r="P183" s="121" t="s">
        <v>41</v>
      </c>
      <c r="Q183" s="121">
        <v>1140056</v>
      </c>
      <c r="R183" s="11" t="s">
        <v>125</v>
      </c>
      <c r="S183" s="121">
        <v>20</v>
      </c>
      <c r="T183" s="121">
        <v>12</v>
      </c>
      <c r="U183" s="121">
        <v>18</v>
      </c>
      <c r="V183" s="121" t="s">
        <v>55</v>
      </c>
      <c r="W183" s="121" t="s">
        <v>122</v>
      </c>
      <c r="X183" s="128">
        <v>41457</v>
      </c>
      <c r="Y183" s="128">
        <v>43649</v>
      </c>
      <c r="Z183" s="13">
        <v>118813500</v>
      </c>
    </row>
    <row r="184" spans="1:26" ht="51" x14ac:dyDescent="0.25">
      <c r="A184" s="121">
        <v>14</v>
      </c>
      <c r="B184" s="10">
        <f>B183</f>
        <v>5567</v>
      </c>
      <c r="C184" s="121" t="s">
        <v>34</v>
      </c>
      <c r="D184" s="121" t="s">
        <v>43</v>
      </c>
      <c r="E184" s="121" t="s">
        <v>122</v>
      </c>
      <c r="F184" s="144" t="s">
        <v>28</v>
      </c>
      <c r="G184" s="144">
        <v>20</v>
      </c>
      <c r="H184" s="144" t="s">
        <v>36</v>
      </c>
      <c r="I184" s="14" t="s">
        <v>150</v>
      </c>
      <c r="J184" s="144" t="s">
        <v>55</v>
      </c>
      <c r="K184" s="141">
        <f>((9.3*14%)+9.3)*16250</f>
        <v>172282.5</v>
      </c>
      <c r="L184" s="26">
        <f t="shared" si="14"/>
        <v>41347800</v>
      </c>
      <c r="M184" s="26">
        <f t="shared" si="13"/>
        <v>41347800</v>
      </c>
      <c r="N184" s="144">
        <v>1</v>
      </c>
      <c r="O184" s="121">
        <v>14</v>
      </c>
      <c r="P184" s="87" t="s">
        <v>35</v>
      </c>
      <c r="Q184" s="125">
        <v>1140057</v>
      </c>
      <c r="R184" s="24" t="s">
        <v>126</v>
      </c>
      <c r="S184" s="125">
        <v>20</v>
      </c>
      <c r="T184" s="125">
        <v>12</v>
      </c>
      <c r="U184" s="125">
        <v>18</v>
      </c>
      <c r="V184" s="125" t="s">
        <v>55</v>
      </c>
      <c r="W184" s="125" t="s">
        <v>122</v>
      </c>
      <c r="X184" s="151">
        <v>41457</v>
      </c>
      <c r="Y184" s="151">
        <v>43649</v>
      </c>
      <c r="Z184" s="141">
        <f>(((9.3*14%)+9.3)*16250)*S184*12</f>
        <v>41347800</v>
      </c>
    </row>
    <row r="185" spans="1:26" ht="51" x14ac:dyDescent="0.25">
      <c r="A185" s="121">
        <v>14</v>
      </c>
      <c r="B185" s="10">
        <f>B184</f>
        <v>5567</v>
      </c>
      <c r="C185" s="121" t="s">
        <v>34</v>
      </c>
      <c r="D185" s="121" t="s">
        <v>75</v>
      </c>
      <c r="E185" s="121" t="s">
        <v>122</v>
      </c>
      <c r="F185" s="144" t="s">
        <v>28</v>
      </c>
      <c r="G185" s="144">
        <v>20</v>
      </c>
      <c r="H185" s="144" t="s">
        <v>36</v>
      </c>
      <c r="I185" s="14" t="s">
        <v>150</v>
      </c>
      <c r="J185" s="144" t="s">
        <v>55</v>
      </c>
      <c r="K185" s="141">
        <f>((9.3*14%)+9.3)*16250</f>
        <v>172282.5</v>
      </c>
      <c r="L185" s="26">
        <f t="shared" si="14"/>
        <v>41347800</v>
      </c>
      <c r="M185" s="26">
        <f t="shared" si="13"/>
        <v>41347800</v>
      </c>
      <c r="N185" s="144">
        <v>1</v>
      </c>
      <c r="O185" s="121"/>
      <c r="P185" s="247" t="s">
        <v>260</v>
      </c>
      <c r="Q185" s="247"/>
      <c r="R185" s="247"/>
      <c r="S185" s="247"/>
      <c r="T185" s="247"/>
      <c r="U185" s="247"/>
      <c r="V185" s="247"/>
      <c r="W185" s="247"/>
      <c r="X185" s="247"/>
      <c r="Y185" s="247"/>
      <c r="Z185" s="13"/>
    </row>
    <row r="186" spans="1:26" ht="38.25" x14ac:dyDescent="0.25">
      <c r="A186" s="168">
        <v>15</v>
      </c>
      <c r="B186" s="121">
        <v>5568</v>
      </c>
      <c r="C186" s="7" t="s">
        <v>25</v>
      </c>
      <c r="D186" s="7" t="s">
        <v>26</v>
      </c>
      <c r="E186" s="7" t="s">
        <v>153</v>
      </c>
      <c r="F186" s="144" t="s">
        <v>28</v>
      </c>
      <c r="G186" s="144">
        <v>20</v>
      </c>
      <c r="H186" s="144" t="s">
        <v>29</v>
      </c>
      <c r="I186" s="146" t="s">
        <v>151</v>
      </c>
      <c r="J186" s="144" t="s">
        <v>32</v>
      </c>
      <c r="K186" s="141">
        <f>(((4.5*(28+192)%)+4.5)+((10.5*28%)+10.5))*16250</f>
        <v>452400.00000000006</v>
      </c>
      <c r="L186" s="26">
        <f t="shared" si="14"/>
        <v>108576000.00000003</v>
      </c>
      <c r="M186" s="26">
        <f t="shared" si="13"/>
        <v>108576000.00000003</v>
      </c>
      <c r="N186" s="144">
        <v>1</v>
      </c>
      <c r="O186" s="248">
        <v>15</v>
      </c>
      <c r="P186" s="250" t="s">
        <v>128</v>
      </c>
      <c r="Q186" s="250">
        <v>1150028</v>
      </c>
      <c r="R186" s="251" t="s">
        <v>154</v>
      </c>
      <c r="S186" s="252">
        <v>40</v>
      </c>
      <c r="T186" s="249"/>
      <c r="U186" s="253"/>
      <c r="V186" s="253"/>
      <c r="W186" s="239" t="s">
        <v>153</v>
      </c>
      <c r="X186" s="240">
        <v>41040</v>
      </c>
      <c r="Y186" s="240" t="s">
        <v>276</v>
      </c>
      <c r="Z186" s="242">
        <v>214695000</v>
      </c>
    </row>
    <row r="187" spans="1:26" ht="38.25" x14ac:dyDescent="0.25">
      <c r="A187" s="169">
        <v>15</v>
      </c>
      <c r="B187" s="10">
        <f>B186</f>
        <v>5568</v>
      </c>
      <c r="C187" s="138" t="s">
        <v>34</v>
      </c>
      <c r="D187" s="138" t="s">
        <v>35</v>
      </c>
      <c r="E187" s="138" t="s">
        <v>153</v>
      </c>
      <c r="F187" s="135" t="s">
        <v>28</v>
      </c>
      <c r="G187" s="135">
        <v>20</v>
      </c>
      <c r="H187" s="135" t="s">
        <v>36</v>
      </c>
      <c r="I187" s="146" t="s">
        <v>151</v>
      </c>
      <c r="J187" s="135" t="s">
        <v>32</v>
      </c>
      <c r="K187" s="157">
        <f>((9.3*28%)+9.3)*16250</f>
        <v>193440.00000000003</v>
      </c>
      <c r="L187" s="21">
        <f t="shared" si="14"/>
        <v>46425600.000000007</v>
      </c>
      <c r="M187" s="21">
        <f t="shared" si="13"/>
        <v>46425600.000000007</v>
      </c>
      <c r="N187" s="135">
        <v>1</v>
      </c>
      <c r="O187" s="249"/>
      <c r="P187" s="250"/>
      <c r="Q187" s="250"/>
      <c r="R187" s="251"/>
      <c r="S187" s="252"/>
      <c r="T187" s="249"/>
      <c r="U187" s="253"/>
      <c r="V187" s="253"/>
      <c r="W187" s="239"/>
      <c r="X187" s="241"/>
      <c r="Y187" s="241"/>
      <c r="Z187" s="242"/>
    </row>
    <row r="188" spans="1:26" ht="51" x14ac:dyDescent="0.25">
      <c r="A188" s="121">
        <v>15</v>
      </c>
      <c r="B188" s="121">
        <f>B186+1</f>
        <v>5569</v>
      </c>
      <c r="C188" s="121" t="s">
        <v>25</v>
      </c>
      <c r="D188" s="121" t="s">
        <v>46</v>
      </c>
      <c r="E188" s="121" t="s">
        <v>153</v>
      </c>
      <c r="F188" s="144" t="s">
        <v>28</v>
      </c>
      <c r="G188" s="144">
        <v>30</v>
      </c>
      <c r="H188" s="144" t="s">
        <v>29</v>
      </c>
      <c r="I188" s="131" t="s">
        <v>148</v>
      </c>
      <c r="J188" s="144" t="s">
        <v>32</v>
      </c>
      <c r="K188" s="26">
        <f>(((4.5*(28+178+0)%)+4.5)+((10.5*(28+90)%)+10.5))*16250</f>
        <v>595725</v>
      </c>
      <c r="L188" s="26">
        <f t="shared" si="14"/>
        <v>214461000</v>
      </c>
      <c r="M188" s="26">
        <f t="shared" si="13"/>
        <v>214461000</v>
      </c>
      <c r="N188" s="144">
        <v>1</v>
      </c>
      <c r="O188" s="121">
        <v>15</v>
      </c>
      <c r="P188" s="121" t="s">
        <v>46</v>
      </c>
      <c r="Q188" s="121">
        <v>1150073</v>
      </c>
      <c r="R188" s="11" t="s">
        <v>155</v>
      </c>
      <c r="S188" s="121">
        <v>30</v>
      </c>
      <c r="T188" s="121">
        <v>0</v>
      </c>
      <c r="U188" s="121">
        <v>6</v>
      </c>
      <c r="V188" s="121" t="s">
        <v>32</v>
      </c>
      <c r="W188" s="121" t="s">
        <v>153</v>
      </c>
      <c r="X188" s="128">
        <v>42828</v>
      </c>
      <c r="Y188" s="153" t="s">
        <v>60</v>
      </c>
      <c r="Z188" s="13">
        <v>214461000</v>
      </c>
    </row>
    <row r="189" spans="1:26" ht="51" x14ac:dyDescent="0.25">
      <c r="A189" s="121">
        <v>15</v>
      </c>
      <c r="B189" s="10">
        <f>B188</f>
        <v>5569</v>
      </c>
      <c r="C189" s="121" t="s">
        <v>34</v>
      </c>
      <c r="D189" s="121" t="s">
        <v>35</v>
      </c>
      <c r="E189" s="121" t="s">
        <v>153</v>
      </c>
      <c r="F189" s="144" t="s">
        <v>28</v>
      </c>
      <c r="G189" s="144">
        <v>30</v>
      </c>
      <c r="H189" s="144" t="s">
        <v>36</v>
      </c>
      <c r="I189" s="131" t="s">
        <v>148</v>
      </c>
      <c r="J189" s="144" t="s">
        <v>32</v>
      </c>
      <c r="K189" s="141">
        <f>((9.3*28%)+9.3)*16250</f>
        <v>193440.00000000003</v>
      </c>
      <c r="L189" s="26">
        <f t="shared" si="14"/>
        <v>69638400.000000015</v>
      </c>
      <c r="M189" s="26">
        <f t="shared" si="13"/>
        <v>69638400.000000015</v>
      </c>
      <c r="N189" s="144">
        <v>1</v>
      </c>
      <c r="O189" s="121">
        <v>15</v>
      </c>
      <c r="P189" s="121" t="s">
        <v>35</v>
      </c>
      <c r="Q189" s="121">
        <v>1150074</v>
      </c>
      <c r="R189" s="11" t="s">
        <v>156</v>
      </c>
      <c r="S189" s="121">
        <v>30</v>
      </c>
      <c r="T189" s="121">
        <v>0</v>
      </c>
      <c r="U189" s="121">
        <v>6</v>
      </c>
      <c r="V189" s="121" t="s">
        <v>32</v>
      </c>
      <c r="W189" s="121" t="s">
        <v>153</v>
      </c>
      <c r="X189" s="128">
        <v>42828</v>
      </c>
      <c r="Y189" s="153" t="s">
        <v>60</v>
      </c>
      <c r="Z189" s="141">
        <f>(((9.3*28%)+9.3)*16250)*S189*12</f>
        <v>69638400.000000015</v>
      </c>
    </row>
    <row r="190" spans="1:26" ht="51" x14ac:dyDescent="0.25">
      <c r="A190" s="186">
        <v>16</v>
      </c>
      <c r="B190" s="131">
        <f>B188+1</f>
        <v>5570</v>
      </c>
      <c r="C190" s="16" t="s">
        <v>25</v>
      </c>
      <c r="D190" s="1" t="s">
        <v>40</v>
      </c>
      <c r="E190" s="131" t="s">
        <v>184</v>
      </c>
      <c r="F190" s="144" t="s">
        <v>28</v>
      </c>
      <c r="G190" s="144">
        <v>20</v>
      </c>
      <c r="H190" s="144" t="s">
        <v>29</v>
      </c>
      <c r="I190" s="14" t="s">
        <v>150</v>
      </c>
      <c r="J190" s="144" t="s">
        <v>32</v>
      </c>
      <c r="K190" s="141">
        <f>(((4.5*(14+192)%)+4.5)+((10.5*14%)+10.5))*16250</f>
        <v>418275.00000000006</v>
      </c>
      <c r="L190" s="26">
        <f t="shared" si="14"/>
        <v>100386000.00000001</v>
      </c>
      <c r="M190" s="26">
        <f>(L190*N190)</f>
        <v>100386000.00000001</v>
      </c>
      <c r="N190" s="144">
        <v>1</v>
      </c>
      <c r="O190" s="135">
        <v>16</v>
      </c>
      <c r="P190" s="86" t="s">
        <v>128</v>
      </c>
      <c r="Q190" s="122">
        <v>1080537</v>
      </c>
      <c r="R190" s="30" t="s">
        <v>185</v>
      </c>
      <c r="S190" s="122">
        <v>31</v>
      </c>
      <c r="T190" s="30"/>
      <c r="U190" s="30"/>
      <c r="V190" s="30"/>
      <c r="W190" s="51" t="s">
        <v>186</v>
      </c>
      <c r="X190" s="117"/>
      <c r="Y190" s="144" t="s">
        <v>276</v>
      </c>
      <c r="Z190" s="26">
        <v>153694125</v>
      </c>
    </row>
    <row r="191" spans="1:26" ht="51" x14ac:dyDescent="0.25">
      <c r="A191" s="186">
        <v>16</v>
      </c>
      <c r="B191" s="144">
        <f>B190</f>
        <v>5570</v>
      </c>
      <c r="C191" s="119" t="s">
        <v>34</v>
      </c>
      <c r="D191" s="1" t="s">
        <v>43</v>
      </c>
      <c r="E191" s="131" t="s">
        <v>184</v>
      </c>
      <c r="F191" s="144" t="s">
        <v>28</v>
      </c>
      <c r="G191" s="144">
        <v>20</v>
      </c>
      <c r="H191" s="144" t="s">
        <v>36</v>
      </c>
      <c r="I191" s="14" t="s">
        <v>150</v>
      </c>
      <c r="J191" s="144" t="s">
        <v>32</v>
      </c>
      <c r="K191" s="141">
        <f>((9.3*14%)+9.3)*16250</f>
        <v>172282.5</v>
      </c>
      <c r="L191" s="26">
        <f t="shared" si="14"/>
        <v>41347800</v>
      </c>
      <c r="M191" s="26">
        <f>(L191*N191)</f>
        <v>41347800</v>
      </c>
      <c r="N191" s="144">
        <v>1</v>
      </c>
      <c r="O191" s="122">
        <v>16</v>
      </c>
      <c r="P191" s="87" t="s">
        <v>26</v>
      </c>
      <c r="Q191" s="122">
        <v>1080586</v>
      </c>
      <c r="R191" s="30" t="s">
        <v>187</v>
      </c>
      <c r="S191" s="122">
        <v>25</v>
      </c>
      <c r="T191" s="122"/>
      <c r="U191" s="122"/>
      <c r="V191" s="122"/>
      <c r="W191" s="51" t="s">
        <v>188</v>
      </c>
      <c r="X191" s="117"/>
      <c r="Y191" s="144" t="s">
        <v>276</v>
      </c>
      <c r="Z191" s="141">
        <v>122411250</v>
      </c>
    </row>
    <row r="192" spans="1:26" ht="51" x14ac:dyDescent="0.25">
      <c r="A192" s="144">
        <v>16</v>
      </c>
      <c r="B192" s="144">
        <f>B191</f>
        <v>5570</v>
      </c>
      <c r="C192" s="131" t="s">
        <v>34</v>
      </c>
      <c r="D192" s="16" t="s">
        <v>75</v>
      </c>
      <c r="E192" s="131" t="s">
        <v>184</v>
      </c>
      <c r="F192" s="144" t="s">
        <v>28</v>
      </c>
      <c r="G192" s="144">
        <v>20</v>
      </c>
      <c r="H192" s="144" t="s">
        <v>36</v>
      </c>
      <c r="I192" s="14" t="s">
        <v>150</v>
      </c>
      <c r="J192" s="144" t="s">
        <v>32</v>
      </c>
      <c r="K192" s="141">
        <f>((9.3*14%)+9.3)*16250</f>
        <v>172282.5</v>
      </c>
      <c r="L192" s="26">
        <f t="shared" si="14"/>
        <v>41347800</v>
      </c>
      <c r="M192" s="26">
        <f>(L192*N192)</f>
        <v>41347800</v>
      </c>
      <c r="N192" s="144">
        <v>1</v>
      </c>
      <c r="O192" s="131">
        <v>16</v>
      </c>
      <c r="P192" s="131" t="s">
        <v>35</v>
      </c>
      <c r="Q192" s="131">
        <v>1080848</v>
      </c>
      <c r="R192" s="2" t="s">
        <v>189</v>
      </c>
      <c r="S192" s="131">
        <v>25</v>
      </c>
      <c r="T192" s="131"/>
      <c r="U192" s="131"/>
      <c r="V192" s="131"/>
      <c r="W192" s="131" t="s">
        <v>188</v>
      </c>
      <c r="X192" s="117"/>
      <c r="Y192" s="144" t="s">
        <v>276</v>
      </c>
      <c r="Z192" s="141">
        <f>(((9.3*14%)+9.3)*16250)*S192*12</f>
        <v>51684750</v>
      </c>
    </row>
  </sheetData>
  <mergeCells count="199">
    <mergeCell ref="W8:W9"/>
    <mergeCell ref="X8:X9"/>
    <mergeCell ref="Y8:Y9"/>
    <mergeCell ref="Z8:Z9"/>
    <mergeCell ref="Z3:Z4"/>
    <mergeCell ref="O8:O9"/>
    <mergeCell ref="P8:P9"/>
    <mergeCell ref="Q8:Q9"/>
    <mergeCell ref="R8:R9"/>
    <mergeCell ref="S8:S9"/>
    <mergeCell ref="T8:T9"/>
    <mergeCell ref="U8:U9"/>
    <mergeCell ref="V8:V9"/>
    <mergeCell ref="U3:U4"/>
    <mergeCell ref="V3:V4"/>
    <mergeCell ref="W3:W4"/>
    <mergeCell ref="X3:X4"/>
    <mergeCell ref="Y3:Y4"/>
    <mergeCell ref="O3:O4"/>
    <mergeCell ref="P3:P4"/>
    <mergeCell ref="Q3:Q4"/>
    <mergeCell ref="R3:R4"/>
    <mergeCell ref="S3:S4"/>
    <mergeCell ref="T3:T4"/>
    <mergeCell ref="O12:Y12"/>
    <mergeCell ref="O15:Y17"/>
    <mergeCell ref="O24:Y24"/>
    <mergeCell ref="O27:O28"/>
    <mergeCell ref="P27:P28"/>
    <mergeCell ref="Q27:Q28"/>
    <mergeCell ref="R27:R28"/>
    <mergeCell ref="S27:S28"/>
    <mergeCell ref="T27:T28"/>
    <mergeCell ref="U27:U28"/>
    <mergeCell ref="X31:X32"/>
    <mergeCell ref="Y31:Y32"/>
    <mergeCell ref="Z31:Z32"/>
    <mergeCell ref="O35:Y35"/>
    <mergeCell ref="Z27:Z28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V27:V28"/>
    <mergeCell ref="W27:W28"/>
    <mergeCell ref="X27:X28"/>
    <mergeCell ref="Y27:Y28"/>
    <mergeCell ref="O36:Y36"/>
    <mergeCell ref="O39:Y40"/>
    <mergeCell ref="O56:Y58"/>
    <mergeCell ref="O65:O66"/>
    <mergeCell ref="P65:P66"/>
    <mergeCell ref="Q65:Q66"/>
    <mergeCell ref="R65:R66"/>
    <mergeCell ref="S65:S66"/>
    <mergeCell ref="T65:T66"/>
    <mergeCell ref="U65:U66"/>
    <mergeCell ref="Y70:Y71"/>
    <mergeCell ref="Z70:Z71"/>
    <mergeCell ref="P75:P76"/>
    <mergeCell ref="Q75:Q76"/>
    <mergeCell ref="R75:R76"/>
    <mergeCell ref="S75:S76"/>
    <mergeCell ref="T75:T76"/>
    <mergeCell ref="U75:U76"/>
    <mergeCell ref="Z65:Z66"/>
    <mergeCell ref="P70:P71"/>
    <mergeCell ref="Q70:Q71"/>
    <mergeCell ref="R70:R71"/>
    <mergeCell ref="S70:S71"/>
    <mergeCell ref="T70:T71"/>
    <mergeCell ref="U70:U71"/>
    <mergeCell ref="V70:V71"/>
    <mergeCell ref="W70:W71"/>
    <mergeCell ref="X70:X71"/>
    <mergeCell ref="V65:V66"/>
    <mergeCell ref="W65:W66"/>
    <mergeCell ref="X65:X66"/>
    <mergeCell ref="Y65:Y66"/>
    <mergeCell ref="W85:W86"/>
    <mergeCell ref="X85:X86"/>
    <mergeCell ref="Y85:Y86"/>
    <mergeCell ref="Z85:Z86"/>
    <mergeCell ref="Z75:Z76"/>
    <mergeCell ref="Q84:Y84"/>
    <mergeCell ref="O85:O86"/>
    <mergeCell ref="P85:P86"/>
    <mergeCell ref="Q85:Q86"/>
    <mergeCell ref="R85:R86"/>
    <mergeCell ref="S85:S86"/>
    <mergeCell ref="T85:T86"/>
    <mergeCell ref="U85:U86"/>
    <mergeCell ref="V85:V86"/>
    <mergeCell ref="V75:V76"/>
    <mergeCell ref="W75:W76"/>
    <mergeCell ref="X75:X76"/>
    <mergeCell ref="Y75:Y76"/>
    <mergeCell ref="W99:W100"/>
    <mergeCell ref="X99:X100"/>
    <mergeCell ref="Y99:Y100"/>
    <mergeCell ref="N101:N102"/>
    <mergeCell ref="Z99:Z100"/>
    <mergeCell ref="Q88:Y88"/>
    <mergeCell ref="O94:Y94"/>
    <mergeCell ref="O99:O100"/>
    <mergeCell ref="P99:P100"/>
    <mergeCell ref="Q99:Q100"/>
    <mergeCell ref="R99:R100"/>
    <mergeCell ref="S99:S100"/>
    <mergeCell ref="T99:T100"/>
    <mergeCell ref="U99:U100"/>
    <mergeCell ref="V99:V100"/>
    <mergeCell ref="H101:H102"/>
    <mergeCell ref="I101:I102"/>
    <mergeCell ref="J101:J102"/>
    <mergeCell ref="K101:K102"/>
    <mergeCell ref="L101:L102"/>
    <mergeCell ref="M101:M102"/>
    <mergeCell ref="B101:B102"/>
    <mergeCell ref="C101:C102"/>
    <mergeCell ref="D101:D102"/>
    <mergeCell ref="E101:E102"/>
    <mergeCell ref="F101:F102"/>
    <mergeCell ref="G101:G102"/>
    <mergeCell ref="Z106:Z107"/>
    <mergeCell ref="O108:O109"/>
    <mergeCell ref="P108:P109"/>
    <mergeCell ref="Q108:Q109"/>
    <mergeCell ref="R108:R109"/>
    <mergeCell ref="S108:S109"/>
    <mergeCell ref="T108:T109"/>
    <mergeCell ref="U108:U109"/>
    <mergeCell ref="V108:V109"/>
    <mergeCell ref="U106:U107"/>
    <mergeCell ref="V106:V107"/>
    <mergeCell ref="W106:W107"/>
    <mergeCell ref="X106:X107"/>
    <mergeCell ref="Y106:Y107"/>
    <mergeCell ref="P106:P107"/>
    <mergeCell ref="Q106:Q107"/>
    <mergeCell ref="R106:R107"/>
    <mergeCell ref="S106:S107"/>
    <mergeCell ref="T106:T107"/>
    <mergeCell ref="O112:Y113"/>
    <mergeCell ref="Q128:Y128"/>
    <mergeCell ref="Q131:Y131"/>
    <mergeCell ref="O137:Y137"/>
    <mergeCell ref="O139:Y139"/>
    <mergeCell ref="W108:W109"/>
    <mergeCell ref="X108:X109"/>
    <mergeCell ref="Y108:Y109"/>
    <mergeCell ref="Z108:Z109"/>
    <mergeCell ref="P150:Y150"/>
    <mergeCell ref="P161:Y161"/>
    <mergeCell ref="O165:Y167"/>
    <mergeCell ref="O171:O172"/>
    <mergeCell ref="P171:P172"/>
    <mergeCell ref="Q171:Q172"/>
    <mergeCell ref="R171:R172"/>
    <mergeCell ref="S171:S172"/>
    <mergeCell ref="T171:T172"/>
    <mergeCell ref="U171:U172"/>
    <mergeCell ref="X173:X174"/>
    <mergeCell ref="Y173:Y174"/>
    <mergeCell ref="Z173:Z174"/>
    <mergeCell ref="P175:Y176"/>
    <mergeCell ref="Z171:Z172"/>
    <mergeCell ref="O173:O174"/>
    <mergeCell ref="P173:P174"/>
    <mergeCell ref="Q173:Q174"/>
    <mergeCell ref="R173:R174"/>
    <mergeCell ref="S173:S174"/>
    <mergeCell ref="T173:T174"/>
    <mergeCell ref="U173:U174"/>
    <mergeCell ref="V173:V174"/>
    <mergeCell ref="W173:W174"/>
    <mergeCell ref="V171:V172"/>
    <mergeCell ref="W171:W172"/>
    <mergeCell ref="X171:X172"/>
    <mergeCell ref="Y171:Y172"/>
    <mergeCell ref="W186:W187"/>
    <mergeCell ref="X186:X187"/>
    <mergeCell ref="Y186:Y187"/>
    <mergeCell ref="Z186:Z187"/>
    <mergeCell ref="P181:Y182"/>
    <mergeCell ref="P185:Y185"/>
    <mergeCell ref="O186:O187"/>
    <mergeCell ref="P186:P187"/>
    <mergeCell ref="Q186:Q187"/>
    <mergeCell ref="R186:R187"/>
    <mergeCell ref="S186:S187"/>
    <mergeCell ref="T186:T187"/>
    <mergeCell ref="U186:U187"/>
    <mergeCell ref="V186:V1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Nº1 SUSTITUIDO</vt:lpstr>
      <vt:lpstr>Hoja3</vt:lpstr>
      <vt:lpstr>Hoja4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dsantis</dc:creator>
  <cp:lastModifiedBy>Gonzalez Valladares, Ana Maria</cp:lastModifiedBy>
  <cp:lastPrinted>2019-06-05T13:55:21Z</cp:lastPrinted>
  <dcterms:created xsi:type="dcterms:W3CDTF">2019-04-09T19:50:01Z</dcterms:created>
  <dcterms:modified xsi:type="dcterms:W3CDTF">2019-06-06T19:30:49Z</dcterms:modified>
</cp:coreProperties>
</file>